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a_piras/Documents/Università/Didattica/Miei Corsi/Lezioni/Corsi trienali/Fogli elettr/"/>
    </mc:Choice>
  </mc:AlternateContent>
  <xr:revisionPtr revIDLastSave="0" documentId="13_ncr:1_{DE2ACC59-4888-3348-B1D7-D3FC06F1E05E}" xr6:coauthVersionLast="36" xr6:coauthVersionMax="36" xr10:uidLastSave="{00000000-0000-0000-0000-000000000000}"/>
  <bookViews>
    <workbookView xWindow="860" yWindow="460" windowWidth="19620" windowHeight="14660" activeTab="2" xr2:uid="{8DAE4305-7A04-5245-9B6B-A16479937E56}"/>
  </bookViews>
  <sheets>
    <sheet name="Capital Budg_1" sheetId="8" r:id="rId1"/>
    <sheet name="CAE" sheetId="6" r:id="rId2"/>
    <sheet name="Sost-Ant" sheetId="7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8" l="1"/>
  <c r="I25" i="7" l="1"/>
  <c r="H25" i="7"/>
  <c r="H20" i="7" l="1"/>
  <c r="I20" i="7"/>
  <c r="G18" i="7"/>
  <c r="H18" i="7"/>
  <c r="H21" i="7" s="1"/>
  <c r="I18" i="7"/>
  <c r="I21" i="7" s="1"/>
  <c r="F18" i="7"/>
  <c r="F21" i="7" s="1"/>
  <c r="E19" i="7"/>
  <c r="F20" i="7" s="1"/>
  <c r="F19" i="7"/>
  <c r="G20" i="7" s="1"/>
  <c r="G19" i="7"/>
  <c r="H19" i="7"/>
  <c r="I19" i="7"/>
  <c r="E18" i="7"/>
  <c r="C19" i="7"/>
  <c r="C18" i="7"/>
  <c r="I3" i="7"/>
  <c r="J3" i="7" s="1"/>
  <c r="H3" i="7"/>
  <c r="F3" i="7"/>
  <c r="D15" i="7" s="1"/>
  <c r="E31" i="6"/>
  <c r="G21" i="7" l="1"/>
  <c r="D16" i="7"/>
  <c r="F27" i="6"/>
  <c r="E27" i="6"/>
  <c r="D27" i="6"/>
  <c r="D10" i="6"/>
  <c r="H10" i="6"/>
  <c r="C27" i="6"/>
  <c r="G20" i="6"/>
  <c r="E20" i="6"/>
  <c r="F20" i="6"/>
  <c r="D20" i="6"/>
  <c r="C20" i="6"/>
  <c r="J25" i="7" l="1"/>
  <c r="K25" i="7"/>
  <c r="F25" i="7"/>
  <c r="G25" i="7"/>
  <c r="C32" i="6"/>
  <c r="H5" i="6"/>
  <c r="C30" i="6" s="1"/>
  <c r="D5" i="6" l="1"/>
  <c r="B34" i="8" l="1"/>
  <c r="B35" i="8" s="1"/>
  <c r="B37" i="8" l="1"/>
  <c r="C27" i="8"/>
  <c r="C28" i="8" s="1"/>
  <c r="H26" i="8"/>
  <c r="E16" i="8" l="1"/>
  <c r="E15" i="8"/>
  <c r="E24" i="8" s="1"/>
  <c r="F15" i="8"/>
  <c r="F24" i="8" s="1"/>
  <c r="G15" i="8"/>
  <c r="G24" i="8" s="1"/>
  <c r="H15" i="8"/>
  <c r="H24" i="8" s="1"/>
  <c r="D15" i="8"/>
  <c r="B85" i="8"/>
  <c r="B86" i="8" s="1"/>
  <c r="B87" i="8" s="1"/>
  <c r="B88" i="8" s="1"/>
  <c r="B90" i="8" s="1"/>
  <c r="D77" i="8"/>
  <c r="E77" i="8"/>
  <c r="F77" i="8"/>
  <c r="G77" i="8"/>
  <c r="C59" i="8"/>
  <c r="C75" i="8" s="1"/>
  <c r="C76" i="8" s="1"/>
  <c r="D18" i="8" l="1"/>
  <c r="D19" i="8" s="1"/>
  <c r="D24" i="8"/>
  <c r="E18" i="8"/>
  <c r="F16" i="8"/>
  <c r="G16" i="8" s="1"/>
  <c r="H16" i="8" s="1"/>
  <c r="H66" i="8"/>
  <c r="D55" i="8"/>
  <c r="D65" i="8" s="1"/>
  <c r="E64" i="8"/>
  <c r="E73" i="8" s="1"/>
  <c r="D64" i="8"/>
  <c r="D73" i="8" s="1"/>
  <c r="E48" i="8"/>
  <c r="F48" i="8" s="1"/>
  <c r="G48" i="8" s="1"/>
  <c r="H48" i="8" s="1"/>
  <c r="H64" i="8" s="1"/>
  <c r="H73" i="8" s="1"/>
  <c r="E45" i="8"/>
  <c r="F45" i="8" s="1"/>
  <c r="G45" i="8" s="1"/>
  <c r="H45" i="8" s="1"/>
  <c r="E63" i="8"/>
  <c r="E72" i="8" s="1"/>
  <c r="F63" i="8"/>
  <c r="F72" i="8" s="1"/>
  <c r="G63" i="8"/>
  <c r="G72" i="8" s="1"/>
  <c r="H63" i="8"/>
  <c r="H72" i="8" s="1"/>
  <c r="D63" i="8"/>
  <c r="D72" i="8" s="1"/>
  <c r="H60" i="8"/>
  <c r="H77" i="8" s="1"/>
  <c r="C60" i="8"/>
  <c r="C77" i="8" s="1"/>
  <c r="C78" i="8" s="1"/>
  <c r="E59" i="8"/>
  <c r="E75" i="8" s="1"/>
  <c r="F59" i="8"/>
  <c r="F75" i="8" s="1"/>
  <c r="G59" i="8"/>
  <c r="G75" i="8" s="1"/>
  <c r="H59" i="8"/>
  <c r="H75" i="8" s="1"/>
  <c r="D59" i="8"/>
  <c r="D75" i="8" s="1"/>
  <c r="H17" i="8" l="1"/>
  <c r="B17" i="8" s="1"/>
  <c r="H18" i="8"/>
  <c r="D5" i="8"/>
  <c r="F5" i="8" s="1"/>
  <c r="D20" i="8"/>
  <c r="D25" i="8"/>
  <c r="D28" i="8" s="1"/>
  <c r="F18" i="8"/>
  <c r="F19" i="8" s="1"/>
  <c r="H19" i="8"/>
  <c r="H25" i="8" s="1"/>
  <c r="H28" i="8" s="1"/>
  <c r="E19" i="8"/>
  <c r="G18" i="8"/>
  <c r="D67" i="8"/>
  <c r="D68" i="8" s="1"/>
  <c r="E55" i="8"/>
  <c r="F55" i="8" s="1"/>
  <c r="G55" i="8" s="1"/>
  <c r="H55" i="8" s="1"/>
  <c r="H65" i="8" s="1"/>
  <c r="H67" i="8" s="1"/>
  <c r="F64" i="8"/>
  <c r="F73" i="8" s="1"/>
  <c r="G64" i="8"/>
  <c r="G73" i="8" s="1"/>
  <c r="E65" i="8" l="1"/>
  <c r="E67" i="8" s="1"/>
  <c r="H20" i="8"/>
  <c r="F20" i="8"/>
  <c r="F25" i="8"/>
  <c r="F28" i="8" s="1"/>
  <c r="E20" i="8"/>
  <c r="E25" i="8"/>
  <c r="E28" i="8" s="1"/>
  <c r="G65" i="8"/>
  <c r="G67" i="8" s="1"/>
  <c r="G68" i="8" s="1"/>
  <c r="G19" i="8"/>
  <c r="D69" i="8"/>
  <c r="D74" i="8"/>
  <c r="D76" i="8" s="1"/>
  <c r="D78" i="8" s="1"/>
  <c r="F65" i="8"/>
  <c r="F67" i="8" s="1"/>
  <c r="F68" i="8" s="1"/>
  <c r="H68" i="8"/>
  <c r="E68" i="8"/>
  <c r="G20" i="8" l="1"/>
  <c r="G25" i="8"/>
  <c r="G28" i="8" s="1"/>
  <c r="C37" i="8" s="1"/>
  <c r="F69" i="8"/>
  <c r="F74" i="8"/>
  <c r="F76" i="8" s="1"/>
  <c r="F78" i="8" s="1"/>
  <c r="H69" i="8"/>
  <c r="H74" i="8"/>
  <c r="H76" i="8" s="1"/>
  <c r="H78" i="8" s="1"/>
  <c r="E69" i="8"/>
  <c r="E74" i="8"/>
  <c r="E76" i="8" s="1"/>
  <c r="E78" i="8" s="1"/>
  <c r="G69" i="8"/>
  <c r="G74" i="8"/>
  <c r="G76" i="8" s="1"/>
  <c r="G78" i="8" s="1"/>
  <c r="C35" i="8" l="1"/>
  <c r="C33" i="8"/>
  <c r="C34" i="8"/>
  <c r="B36" i="8"/>
  <c r="C36" i="8" s="1"/>
  <c r="C87" i="8"/>
  <c r="B89" i="8"/>
  <c r="C89" i="8" s="1"/>
  <c r="C85" i="8"/>
  <c r="C88" i="8"/>
  <c r="C86" i="8"/>
  <c r="C84" i="8"/>
  <c r="C90" i="8"/>
</calcChain>
</file>

<file path=xl/sharedStrings.xml><?xml version="1.0" encoding="utf-8"?>
<sst xmlns="http://schemas.openxmlformats.org/spreadsheetml/2006/main" count="119" uniqueCount="84">
  <si>
    <t>Flussi</t>
  </si>
  <si>
    <t>Voci</t>
  </si>
  <si>
    <t>T 1</t>
  </si>
  <si>
    <t>T 2</t>
  </si>
  <si>
    <t>T 3</t>
  </si>
  <si>
    <t>T 4</t>
  </si>
  <si>
    <t>Investimenti</t>
  </si>
  <si>
    <t>Linea di Produzione</t>
  </si>
  <si>
    <t>T 0</t>
  </si>
  <si>
    <t>T 5</t>
  </si>
  <si>
    <t>Ammortamento</t>
  </si>
  <si>
    <t>Vendita Macchinario</t>
  </si>
  <si>
    <t>Costo Opp. Cappannone</t>
  </si>
  <si>
    <t>Cap. Circ. Commerciale</t>
  </si>
  <si>
    <t>Variazione C.C.C.</t>
  </si>
  <si>
    <t>Flusso Investimento</t>
  </si>
  <si>
    <t>Ricavi Vendita</t>
  </si>
  <si>
    <t>Costi Operativi</t>
  </si>
  <si>
    <t>Utile Lordo</t>
  </si>
  <si>
    <t>Imposte</t>
  </si>
  <si>
    <t>Utile Netto</t>
  </si>
  <si>
    <t>Unità Vendibili</t>
  </si>
  <si>
    <t>Prezzo Unit. (+2% Anno)</t>
  </si>
  <si>
    <t>Aliquota Fiscale</t>
  </si>
  <si>
    <t>Variaz. Costo Operativo</t>
  </si>
  <si>
    <t>Costo Operativo Unitario</t>
  </si>
  <si>
    <t>C.E.</t>
  </si>
  <si>
    <t>Ricavi di vendita</t>
  </si>
  <si>
    <t>Flusso di CCN</t>
  </si>
  <si>
    <t>Flusso della Gestione corrente</t>
  </si>
  <si>
    <t>Flusso Progetto</t>
  </si>
  <si>
    <t>Calcolo VAN</t>
  </si>
  <si>
    <t>Costo del Capitale</t>
  </si>
  <si>
    <t>VAN</t>
  </si>
  <si>
    <t xml:space="preserve">TIR </t>
  </si>
  <si>
    <t>Aliquota di Ammortamento</t>
  </si>
  <si>
    <t>Voci/ t</t>
  </si>
  <si>
    <t>Vendite</t>
  </si>
  <si>
    <t xml:space="preserve">costo del venduto </t>
  </si>
  <si>
    <t>altri costi</t>
  </si>
  <si>
    <t>FCO</t>
  </si>
  <si>
    <t>amm.to</t>
  </si>
  <si>
    <t>Imponibile</t>
  </si>
  <si>
    <t>imposte</t>
  </si>
  <si>
    <t>R.N.</t>
  </si>
  <si>
    <t>Impianto</t>
  </si>
  <si>
    <t>Aliquota Ammortamento</t>
  </si>
  <si>
    <t>Vendita Impianto</t>
  </si>
  <si>
    <t>Disinv. to</t>
  </si>
  <si>
    <t>Inv.to</t>
  </si>
  <si>
    <t>flussi</t>
  </si>
  <si>
    <t>V. A della rendita immediata posticipata</t>
  </si>
  <si>
    <t>n</t>
  </si>
  <si>
    <t>i</t>
  </si>
  <si>
    <t>a</t>
  </si>
  <si>
    <t>Rata posticipata del debito di un Euro</t>
  </si>
  <si>
    <t>Investimento</t>
  </si>
  <si>
    <t>Macchina A</t>
  </si>
  <si>
    <t>Macchina B</t>
  </si>
  <si>
    <t>Costi di Funz.</t>
  </si>
  <si>
    <t>Tempo</t>
  </si>
  <si>
    <t>CAE A</t>
  </si>
  <si>
    <t>CAE B</t>
  </si>
  <si>
    <t>VV.AA.</t>
  </si>
  <si>
    <t>Machina A</t>
  </si>
  <si>
    <t>Il manager di un’impresa deve acquistare la macchina A ovvero quella B.
Le due macchine possiedono eguale capacità produttiva ed effettuano esattamente lo stesso lavoro.
La macchina A  costa ________ (T0), verrà utilizzata per __ anni, con costi di funzionamento annui di_______ (da T1) 
La macchina B costa ________ (T0), può essere impiegata per __ anni, con costi di funzionamento di _______ (da T1)
Quale macchina conviene acquistare?</t>
  </si>
  <si>
    <t>Costi di manutenzione</t>
  </si>
  <si>
    <r>
      <t xml:space="preserve">Una società alla fine dell’anno zero, valuta l’opportunità di </t>
    </r>
    <r>
      <rPr>
        <u/>
        <sz val="11"/>
        <color rgb="FF000000"/>
        <rFont val="Calibri"/>
        <family val="2"/>
        <scheme val="minor"/>
      </rPr>
      <t xml:space="preserve">sostituire anticipatamente </t>
    </r>
    <r>
      <rPr>
        <sz val="11"/>
        <color rgb="FF000000"/>
        <rFont val="Calibri"/>
        <family val="2"/>
        <scheme val="minor"/>
      </rPr>
      <t>una macchina esistente, per la quale, a partire dall’anno 1, si prevedono i seguenti:</t>
    </r>
  </si>
  <si>
    <t>Valori di realizzo</t>
  </si>
  <si>
    <t>La macchina nuova costa</t>
  </si>
  <si>
    <t>Con costi di manutenzione</t>
  </si>
  <si>
    <t xml:space="preserve">Potrà essere venduta alla fine dell'anno 6 per </t>
  </si>
  <si>
    <t>Quando conviene sostituire la macchina ?</t>
  </si>
  <si>
    <t>Step 1</t>
  </si>
  <si>
    <t>CAE</t>
  </si>
  <si>
    <t>CAE Nuova</t>
  </si>
  <si>
    <t>VV.AA</t>
  </si>
  <si>
    <t>Step 2</t>
  </si>
  <si>
    <t>Flussi Vecchia</t>
  </si>
  <si>
    <t>Costo Opp. Mancata Vendita</t>
  </si>
  <si>
    <t>Decisione:</t>
  </si>
  <si>
    <t>Bilancio Finale</t>
  </si>
  <si>
    <t>Valutare con il metodo del V.A.N. un progetto d’investimento che prevede:
l’acquisto (in T 0) di un impianto per 200.000 da utilizzare per 5 anni, con vendita, alla fine di T 5 a 95.000; 
amm.to costante (compreso anno 1)  aliquota del 15%;
vendite (a partire da T 1): 720.000, 1.150.000, 1.380.000, 1.160.000, 1.140.000;
costo del venduto (a partire da T 1): 450.000, 680.000, 740.000, 560.000, 540.000;
Altri costi: 24.000, 31.000, 32.500, 21.500, 16.400
imposte al 30%;</t>
  </si>
  <si>
    <t>La W.T.F. SpA è un’azienda leader nella produzione di dispositivi ricreativi e sta valutando un possibile nuovo prodotto capace di effetti sonori avvolgenti.
Un’indagine di marketing del costo di € 170.000 sostiene che il nuovo dispositivo potrebbe conquistare una quota di mercato tra il 10% e il 15%.
Portare avanti l’investimento?
Il dispositivo verrebbe prodotto in un capannone attualmente inutilizzato che potrebbe essere venduto per  € 350.000 al netto delle imposte
Il costo della linea di produzione è € 450.000. Tra cinque anni la macchina avrà un valore di mercato di € 130.000
La produzione annua nei cinque anni di vita utile della  macchina è prevista rispettivamente in: 5.000, 8.000, 12.000, 10.000 e 6.000 unità. 
Il prezzo di vendita nel primo anno sarà € 60, e aumenterà del 2% all’anno, contro un’inflazione del 5% all’anno.
I flussi di cassa in uscita per la produzione dovrebbero crescere del 10% all’anno. I costi unitari di produzione saranno di € 18
L’aliquota fiscale incrementale appropriata per l’azienda nel progetto delle palle da bowling è il 28%. Il tasso di ammortamento è il 20% (a quote costanti)
L’investimento dell’anno 0 in capitale circolante è € 18 000. Il capitale circolante dovrebbe crescere nei primi anni del progetto e scendere a 0 alla fine del progetto.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</si>
</sst>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43" formatCode="_-* #,##0.00\ _€_-;\-* #,##0.00\ _€_-;_-* &quot;-&quot;??\ _€_-;_-@_-"/>
    <numFmt numFmtId="164" formatCode="#,##0_ ;\-#,##0\ "/>
    <numFmt numFmtId="165" formatCode="0.00000%"/>
    <numFmt numFmtId="166" formatCode="#,##0.00000000;[Red]\-#,##0.00000000"/>
  </numFmts>
  <fonts count="19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5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5"/>
      <color rgb="FF4B4B4B"/>
      <name val="Symbol"/>
      <charset val="2"/>
    </font>
    <font>
      <sz val="10"/>
      <name val="CG Omega"/>
      <family val="2"/>
    </font>
    <font>
      <b/>
      <sz val="11"/>
      <name val="Symbol"/>
      <charset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8" fontId="12" fillId="0" borderId="0">
      <alignment horizontal="right"/>
    </xf>
  </cellStyleXfs>
  <cellXfs count="1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8" fontId="2" fillId="0" borderId="0" xfId="0" applyNumberFormat="1" applyFont="1"/>
    <xf numFmtId="0" fontId="3" fillId="0" borderId="0" xfId="0" applyFont="1" applyAlignment="1">
      <alignment horizontal="justify" vertical="center" readingOrder="1"/>
    </xf>
    <xf numFmtId="9" fontId="2" fillId="0" borderId="0" xfId="0" applyNumberFormat="1" applyFont="1" applyAlignment="1">
      <alignment horizontal="center"/>
    </xf>
    <xf numFmtId="8" fontId="2" fillId="0" borderId="0" xfId="0" applyNumberFormat="1" applyFont="1" applyAlignment="1">
      <alignment horizontal="center"/>
    </xf>
    <xf numFmtId="164" fontId="2" fillId="0" borderId="0" xfId="2" applyNumberFormat="1" applyFont="1" applyAlignment="1">
      <alignment horizontal="center"/>
    </xf>
    <xf numFmtId="0" fontId="3" fillId="0" borderId="0" xfId="0" applyFont="1" applyAlignment="1">
      <alignment horizontal="center" vertical="center" wrapText="1" readingOrder="1"/>
    </xf>
    <xf numFmtId="9" fontId="2" fillId="0" borderId="0" xfId="1" applyFont="1" applyAlignment="1">
      <alignment horizontal="center"/>
    </xf>
    <xf numFmtId="0" fontId="2" fillId="0" borderId="1" xfId="0" applyFont="1" applyBorder="1"/>
    <xf numFmtId="8" fontId="2" fillId="0" borderId="1" xfId="0" applyNumberFormat="1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0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0" fontId="2" fillId="2" borderId="3" xfId="0" applyNumberFormat="1" applyFont="1" applyFill="1" applyBorder="1" applyAlignment="1">
      <alignment horizontal="center"/>
    </xf>
    <xf numFmtId="8" fontId="2" fillId="2" borderId="4" xfId="0" applyNumberFormat="1" applyFont="1" applyFill="1" applyBorder="1" applyAlignment="1">
      <alignment horizontal="center"/>
    </xf>
    <xf numFmtId="10" fontId="2" fillId="0" borderId="0" xfId="1" applyNumberFormat="1" applyFont="1" applyAlignment="1">
      <alignment horizontal="center"/>
    </xf>
    <xf numFmtId="0" fontId="2" fillId="3" borderId="0" xfId="0" applyFont="1" applyFill="1"/>
    <xf numFmtId="8" fontId="2" fillId="3" borderId="0" xfId="0" applyNumberFormat="1" applyFont="1" applyFill="1"/>
    <xf numFmtId="0" fontId="4" fillId="3" borderId="0" xfId="0" applyFont="1" applyFill="1"/>
    <xf numFmtId="8" fontId="4" fillId="3" borderId="0" xfId="0" applyNumberFormat="1" applyFont="1" applyFill="1"/>
    <xf numFmtId="0" fontId="2" fillId="3" borderId="5" xfId="0" applyFont="1" applyFill="1" applyBorder="1"/>
    <xf numFmtId="8" fontId="2" fillId="3" borderId="5" xfId="0" applyNumberFormat="1" applyFont="1" applyFill="1" applyBorder="1"/>
    <xf numFmtId="0" fontId="2" fillId="4" borderId="0" xfId="0" applyFont="1" applyFill="1"/>
    <xf numFmtId="9" fontId="2" fillId="4" borderId="0" xfId="1" applyFont="1" applyFill="1" applyAlignment="1">
      <alignment horizontal="center"/>
    </xf>
    <xf numFmtId="8" fontId="2" fillId="4" borderId="0" xfId="0" applyNumberFormat="1" applyFont="1" applyFill="1"/>
    <xf numFmtId="0" fontId="5" fillId="0" borderId="6" xfId="0" applyFont="1" applyBorder="1" applyAlignment="1">
      <alignment horizontal="center" wrapText="1" readingOrder="1"/>
    </xf>
    <xf numFmtId="0" fontId="6" fillId="0" borderId="11" xfId="0" applyFont="1" applyBorder="1" applyAlignment="1">
      <alignment horizontal="center" wrapText="1" readingOrder="1"/>
    </xf>
    <xf numFmtId="8" fontId="2" fillId="0" borderId="0" xfId="0" applyNumberFormat="1" applyFont="1" applyFill="1" applyBorder="1" applyAlignment="1">
      <alignment horizontal="center"/>
    </xf>
    <xf numFmtId="9" fontId="2" fillId="0" borderId="0" xfId="0" applyNumberFormat="1" applyFont="1" applyFill="1" applyBorder="1" applyAlignment="1">
      <alignment horizontal="center"/>
    </xf>
    <xf numFmtId="0" fontId="0" fillId="0" borderId="0" xfId="0" applyFont="1" applyAlignment="1">
      <alignment horizontal="left" vertical="center" readingOrder="1"/>
    </xf>
    <xf numFmtId="0" fontId="7" fillId="0" borderId="0" xfId="0" applyFont="1" applyAlignment="1">
      <alignment horizontal="left"/>
    </xf>
    <xf numFmtId="0" fontId="8" fillId="0" borderId="6" xfId="0" applyFont="1" applyBorder="1" applyAlignment="1">
      <alignment horizontal="center" wrapText="1" readingOrder="1"/>
    </xf>
    <xf numFmtId="0" fontId="9" fillId="0" borderId="7" xfId="0" applyFont="1" applyBorder="1" applyAlignment="1">
      <alignment horizontal="left" wrapText="1" indent="1" readingOrder="1"/>
    </xf>
    <xf numFmtId="0" fontId="9" fillId="0" borderId="9" xfId="0" applyFont="1" applyBorder="1" applyAlignment="1">
      <alignment horizontal="left" wrapText="1" indent="1" readingOrder="1"/>
    </xf>
    <xf numFmtId="0" fontId="8" fillId="0" borderId="9" xfId="0" applyFont="1" applyBorder="1" applyAlignment="1">
      <alignment horizontal="left" wrapText="1" indent="1" readingOrder="1"/>
    </xf>
    <xf numFmtId="0" fontId="8" fillId="0" borderId="12" xfId="0" applyFont="1" applyBorder="1" applyAlignment="1">
      <alignment horizontal="left" wrapText="1" indent="1" readingOrder="1"/>
    </xf>
    <xf numFmtId="0" fontId="6" fillId="0" borderId="8" xfId="0" applyFont="1" applyBorder="1" applyAlignment="1">
      <alignment horizontal="left" wrapText="1" readingOrder="1"/>
    </xf>
    <xf numFmtId="0" fontId="6" fillId="0" borderId="10" xfId="0" applyFont="1" applyBorder="1" applyAlignment="1">
      <alignment horizontal="left" wrapText="1" readingOrder="1"/>
    </xf>
    <xf numFmtId="0" fontId="6" fillId="0" borderId="10" xfId="0" applyFont="1" applyBorder="1" applyAlignment="1">
      <alignment horizontal="center" wrapText="1" readingOrder="1"/>
    </xf>
    <xf numFmtId="8" fontId="6" fillId="0" borderId="8" xfId="0" applyNumberFormat="1" applyFont="1" applyBorder="1" applyAlignment="1">
      <alignment horizontal="center" wrapText="1" readingOrder="1"/>
    </xf>
    <xf numFmtId="8" fontId="6" fillId="0" borderId="10" xfId="0" applyNumberFormat="1" applyFont="1" applyBorder="1" applyAlignment="1">
      <alignment horizontal="center" wrapText="1" readingOrder="1"/>
    </xf>
    <xf numFmtId="0" fontId="2" fillId="0" borderId="0" xfId="0" applyFont="1" applyAlignment="1">
      <alignment horizontal="center"/>
    </xf>
    <xf numFmtId="10" fontId="2" fillId="2" borderId="2" xfId="0" applyNumberFormat="1" applyFont="1" applyFill="1" applyBorder="1" applyAlignment="1">
      <alignment horizontal="center"/>
    </xf>
    <xf numFmtId="0" fontId="10" fillId="4" borderId="0" xfId="0" applyFont="1" applyFill="1"/>
    <xf numFmtId="10" fontId="10" fillId="4" borderId="0" xfId="1" applyNumberFormat="1" applyFont="1" applyFill="1" applyAlignment="1">
      <alignment horizontal="center"/>
    </xf>
    <xf numFmtId="8" fontId="10" fillId="4" borderId="0" xfId="0" applyNumberFormat="1" applyFont="1" applyFill="1" applyAlignment="1">
      <alignment horizontal="center"/>
    </xf>
    <xf numFmtId="0" fontId="11" fillId="0" borderId="0" xfId="0" applyFont="1"/>
    <xf numFmtId="0" fontId="13" fillId="5" borderId="4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10" fontId="15" fillId="5" borderId="3" xfId="1" applyNumberFormat="1" applyFont="1" applyFill="1" applyBorder="1" applyAlignment="1">
      <alignment horizontal="center" vertical="center"/>
    </xf>
    <xf numFmtId="166" fontId="14" fillId="5" borderId="4" xfId="3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>
      <alignment horizontal="center" vertical="center"/>
    </xf>
    <xf numFmtId="10" fontId="15" fillId="0" borderId="0" xfId="1" applyNumberFormat="1" applyFont="1" applyFill="1" applyBorder="1" applyAlignment="1">
      <alignment horizontal="center" vertical="center"/>
    </xf>
    <xf numFmtId="166" fontId="14" fillId="0" borderId="0" xfId="3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 readingOrder="1"/>
    </xf>
    <xf numFmtId="0" fontId="16" fillId="0" borderId="0" xfId="0" applyFont="1" applyAlignment="1">
      <alignment horizontal="center" vertical="center" readingOrder="1"/>
    </xf>
    <xf numFmtId="0" fontId="9" fillId="0" borderId="0" xfId="0" applyFont="1" applyAlignment="1">
      <alignment vertical="center" wrapText="1" readingOrder="1"/>
    </xf>
    <xf numFmtId="0" fontId="9" fillId="6" borderId="0" xfId="0" applyFont="1" applyFill="1" applyAlignment="1">
      <alignment horizontal="left" vertical="center" readingOrder="1"/>
    </xf>
    <xf numFmtId="0" fontId="2" fillId="6" borderId="0" xfId="0" applyFont="1" applyFill="1" applyAlignment="1">
      <alignment horizontal="center"/>
    </xf>
    <xf numFmtId="8" fontId="2" fillId="6" borderId="0" xfId="0" applyNumberFormat="1" applyFont="1" applyFill="1"/>
    <xf numFmtId="0" fontId="2" fillId="6" borderId="0" xfId="0" applyFont="1" applyFill="1"/>
    <xf numFmtId="0" fontId="2" fillId="7" borderId="0" xfId="0" applyFont="1" applyFill="1"/>
    <xf numFmtId="0" fontId="2" fillId="7" borderId="0" xfId="0" applyFont="1" applyFill="1" applyAlignment="1">
      <alignment horizontal="center"/>
    </xf>
    <xf numFmtId="8" fontId="2" fillId="7" borderId="0" xfId="0" applyNumberFormat="1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8" fontId="2" fillId="0" borderId="0" xfId="0" applyNumberFormat="1" applyFont="1" applyFill="1"/>
    <xf numFmtId="0" fontId="17" fillId="0" borderId="0" xfId="0" applyFont="1" applyFill="1" applyAlignment="1">
      <alignment horizontal="right"/>
    </xf>
    <xf numFmtId="10" fontId="2" fillId="0" borderId="0" xfId="0" applyNumberFormat="1" applyFont="1" applyFill="1" applyAlignment="1">
      <alignment horizontal="center"/>
    </xf>
    <xf numFmtId="10" fontId="2" fillId="0" borderId="0" xfId="1" applyNumberFormat="1" applyFont="1" applyFill="1" applyAlignment="1">
      <alignment horizontal="center"/>
    </xf>
    <xf numFmtId="8" fontId="2" fillId="0" borderId="0" xfId="0" applyNumberFormat="1" applyFont="1" applyAlignment="1"/>
    <xf numFmtId="8" fontId="4" fillId="6" borderId="0" xfId="0" applyNumberFormat="1" applyFont="1" applyFill="1" applyAlignment="1">
      <alignment horizontal="center"/>
    </xf>
    <xf numFmtId="8" fontId="4" fillId="7" borderId="0" xfId="0" applyNumberFormat="1" applyFont="1" applyFill="1" applyAlignment="1">
      <alignment horizontal="center"/>
    </xf>
    <xf numFmtId="0" fontId="4" fillId="8" borderId="0" xfId="0" applyFont="1" applyFill="1" applyAlignment="1">
      <alignment horizontal="center"/>
    </xf>
    <xf numFmtId="0" fontId="9" fillId="0" borderId="18" xfId="0" applyFont="1" applyBorder="1" applyAlignment="1">
      <alignment horizontal="left" vertical="center" wrapText="1" readingOrder="1"/>
    </xf>
    <xf numFmtId="0" fontId="9" fillId="0" borderId="0" xfId="0" applyFont="1" applyBorder="1" applyAlignment="1">
      <alignment horizontal="left" vertical="center" wrapText="1" readingOrder="1"/>
    </xf>
    <xf numFmtId="0" fontId="9" fillId="0" borderId="18" xfId="0" applyFont="1" applyBorder="1" applyAlignment="1">
      <alignment horizontal="left" vertical="center" readingOrder="1"/>
    </xf>
    <xf numFmtId="0" fontId="2" fillId="0" borderId="0" xfId="0" applyFont="1" applyBorder="1"/>
    <xf numFmtId="8" fontId="2" fillId="0" borderId="0" xfId="0" applyNumberFormat="1" applyFont="1" applyFill="1" applyBorder="1"/>
    <xf numFmtId="0" fontId="2" fillId="0" borderId="18" xfId="0" applyFont="1" applyBorder="1"/>
    <xf numFmtId="0" fontId="2" fillId="0" borderId="19" xfId="0" applyFont="1" applyBorder="1"/>
    <xf numFmtId="0" fontId="9" fillId="0" borderId="14" xfId="0" applyFont="1" applyBorder="1" applyAlignment="1">
      <alignment horizontal="center" vertical="center" wrapText="1" readingOrder="1"/>
    </xf>
    <xf numFmtId="8" fontId="2" fillId="0" borderId="14" xfId="0" applyNumberFormat="1" applyFont="1" applyFill="1" applyBorder="1"/>
    <xf numFmtId="0" fontId="2" fillId="0" borderId="14" xfId="0" applyFont="1" applyBorder="1"/>
    <xf numFmtId="0" fontId="15" fillId="5" borderId="16" xfId="0" applyFont="1" applyFill="1" applyBorder="1" applyAlignment="1">
      <alignment horizontal="center" vertical="center"/>
    </xf>
    <xf numFmtId="10" fontId="15" fillId="5" borderId="16" xfId="1" applyNumberFormat="1" applyFont="1" applyFill="1" applyBorder="1" applyAlignment="1">
      <alignment horizontal="center" vertical="center"/>
    </xf>
    <xf numFmtId="166" fontId="14" fillId="5" borderId="16" xfId="3" applyNumberFormat="1" applyFont="1" applyFill="1" applyBorder="1" applyAlignment="1" applyProtection="1">
      <alignment horizontal="center" vertical="center"/>
      <protection locked="0"/>
    </xf>
    <xf numFmtId="0" fontId="2" fillId="8" borderId="14" xfId="0" applyFont="1" applyFill="1" applyBorder="1" applyAlignment="1">
      <alignment horizontal="center"/>
    </xf>
    <xf numFmtId="0" fontId="9" fillId="8" borderId="14" xfId="0" applyFont="1" applyFill="1" applyBorder="1" applyAlignment="1">
      <alignment horizontal="center" vertical="center" readingOrder="1"/>
    </xf>
    <xf numFmtId="8" fontId="2" fillId="8" borderId="14" xfId="0" applyNumberFormat="1" applyFont="1" applyFill="1" applyBorder="1"/>
    <xf numFmtId="0" fontId="2" fillId="8" borderId="14" xfId="0" applyFont="1" applyFill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9" fillId="0" borderId="15" xfId="0" applyFont="1" applyBorder="1" applyAlignment="1">
      <alignment horizontal="left" vertical="center" wrapText="1" readingOrder="1"/>
    </xf>
    <xf numFmtId="0" fontId="9" fillId="0" borderId="16" xfId="0" applyFont="1" applyBorder="1" applyAlignment="1">
      <alignment horizontal="left" vertical="center" wrapText="1" readingOrder="1"/>
    </xf>
    <xf numFmtId="0" fontId="9" fillId="0" borderId="17" xfId="0" applyFont="1" applyBorder="1" applyAlignment="1">
      <alignment horizontal="left" vertical="center" wrapText="1" readingOrder="1"/>
    </xf>
    <xf numFmtId="0" fontId="2" fillId="8" borderId="14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</cellXfs>
  <cellStyles count="4">
    <cellStyle name="colonna valuta" xfId="3" xr:uid="{AD20A466-A1A7-4743-B799-9A1A56CA8764}"/>
    <cellStyle name="Migliaia" xfId="2" builtinId="3"/>
    <cellStyle name="Normale" xfId="0" builtinId="0"/>
    <cellStyle name="Percentuale" xfId="1" builtinId="5"/>
  </cellStyles>
  <dxfs count="1">
    <dxf>
      <font>
        <b/>
        <i val="0"/>
        <color rgb="FF0070C0"/>
      </font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5FBFD-04D2-3749-9351-9ACEE8AB0D65}">
  <dimension ref="A3:R130"/>
  <sheetViews>
    <sheetView topLeftCell="A80" zoomScale="220" zoomScaleNormal="110" workbookViewId="0">
      <selection activeCell="D59" sqref="D59"/>
    </sheetView>
  </sheetViews>
  <sheetFormatPr baseColWidth="10" defaultRowHeight="15"/>
  <cols>
    <col min="1" max="1" width="10.83203125" style="1"/>
    <col min="2" max="2" width="24" style="1" bestFit="1" customWidth="1"/>
    <col min="3" max="8" width="20.83203125" style="1" customWidth="1"/>
    <col min="9" max="11" width="10.83203125" style="1"/>
    <col min="12" max="12" width="12.1640625" style="1" bestFit="1" customWidth="1"/>
    <col min="13" max="16384" width="10.83203125" style="1"/>
  </cols>
  <sheetData>
    <row r="3" spans="2:15" ht="111" customHeight="1">
      <c r="B3" s="103" t="s">
        <v>82</v>
      </c>
      <c r="C3" s="103"/>
      <c r="D3" s="103"/>
      <c r="E3" s="103"/>
      <c r="F3" s="103"/>
      <c r="G3" s="103"/>
      <c r="H3" s="103"/>
    </row>
    <row r="4" spans="2:15" ht="16">
      <c r="B4" s="34"/>
    </row>
    <row r="5" spans="2:15" ht="16">
      <c r="B5" s="34" t="s">
        <v>45</v>
      </c>
      <c r="C5" s="32">
        <v>200000</v>
      </c>
      <c r="D5" s="4">
        <f>SUM(D16:H16)</f>
        <v>-150000</v>
      </c>
      <c r="F5" s="4">
        <f>C5+D5</f>
        <v>50000</v>
      </c>
    </row>
    <row r="6" spans="2:15" ht="16">
      <c r="B6" s="35" t="s">
        <v>46</v>
      </c>
      <c r="C6" s="33">
        <v>0.15</v>
      </c>
    </row>
    <row r="7" spans="2:15" ht="16">
      <c r="B7" s="35" t="s">
        <v>23</v>
      </c>
      <c r="C7" s="33">
        <v>0.27</v>
      </c>
    </row>
    <row r="8" spans="2:15" ht="16">
      <c r="B8" s="35" t="s">
        <v>47</v>
      </c>
      <c r="C8" s="32">
        <v>95000</v>
      </c>
    </row>
    <row r="9" spans="2:15" ht="16">
      <c r="B9" s="35"/>
      <c r="C9" s="33"/>
    </row>
    <row r="11" spans="2:15" ht="16">
      <c r="B11" s="36" t="s">
        <v>36</v>
      </c>
      <c r="C11" s="36">
        <v>0</v>
      </c>
      <c r="D11" s="36">
        <v>1</v>
      </c>
      <c r="E11" s="36">
        <v>2</v>
      </c>
      <c r="F11" s="36">
        <v>3</v>
      </c>
      <c r="G11" s="36">
        <v>4</v>
      </c>
      <c r="H11" s="36">
        <v>5</v>
      </c>
    </row>
    <row r="12" spans="2:15" ht="19">
      <c r="B12" s="37" t="s">
        <v>37</v>
      </c>
      <c r="C12" s="22"/>
      <c r="D12" s="22">
        <v>720000</v>
      </c>
      <c r="E12" s="22">
        <v>1150000</v>
      </c>
      <c r="F12" s="22">
        <v>1380000</v>
      </c>
      <c r="G12" s="22">
        <v>1160000</v>
      </c>
      <c r="H12" s="22">
        <v>1140000</v>
      </c>
      <c r="O12" s="51"/>
    </row>
    <row r="13" spans="2:15" ht="16">
      <c r="B13" s="38" t="s">
        <v>38</v>
      </c>
      <c r="C13" s="22"/>
      <c r="D13" s="22">
        <v>-450000</v>
      </c>
      <c r="E13" s="22">
        <v>-680000</v>
      </c>
      <c r="F13" s="22">
        <v>-740000</v>
      </c>
      <c r="G13" s="22">
        <v>-560000</v>
      </c>
      <c r="H13" s="22">
        <v>-540000</v>
      </c>
    </row>
    <row r="14" spans="2:15" ht="16">
      <c r="B14" s="38" t="s">
        <v>39</v>
      </c>
      <c r="C14" s="22"/>
      <c r="D14" s="22">
        <v>-24000</v>
      </c>
      <c r="E14" s="22">
        <v>-31000</v>
      </c>
      <c r="F14" s="22">
        <v>-32500</v>
      </c>
      <c r="G14" s="22">
        <v>-21500</v>
      </c>
      <c r="H14" s="22">
        <v>-16400</v>
      </c>
    </row>
    <row r="15" spans="2:15" ht="16">
      <c r="B15" s="39" t="s">
        <v>40</v>
      </c>
      <c r="C15" s="22"/>
      <c r="D15" s="22">
        <f>SUM(D12:D14)</f>
        <v>246000</v>
      </c>
      <c r="E15" s="22">
        <f>SUM(E12:E14)</f>
        <v>439000</v>
      </c>
      <c r="F15" s="22">
        <f>SUM(F12:F14)</f>
        <v>607500</v>
      </c>
      <c r="G15" s="22">
        <f>SUM(G12:G14)</f>
        <v>578500</v>
      </c>
      <c r="H15" s="22">
        <f>SUM(H12:H14)</f>
        <v>583600</v>
      </c>
    </row>
    <row r="16" spans="2:15" ht="16">
      <c r="B16" s="38" t="s">
        <v>41</v>
      </c>
      <c r="C16" s="22"/>
      <c r="D16" s="22">
        <f>-C5*C6</f>
        <v>-30000</v>
      </c>
      <c r="E16" s="22">
        <f>D16</f>
        <v>-30000</v>
      </c>
      <c r="F16" s="22">
        <f>E16</f>
        <v>-30000</v>
      </c>
      <c r="G16" s="22">
        <f>F16</f>
        <v>-30000</v>
      </c>
      <c r="H16" s="22">
        <f>G16</f>
        <v>-30000</v>
      </c>
    </row>
    <row r="17" spans="2:8" ht="16">
      <c r="B17" s="38" t="str">
        <f>IF(H17&lt;0,"Minusvalenza",IF(H17&gt;0,"Plusvalenza",""))</f>
        <v>Plusvalenza</v>
      </c>
      <c r="C17" s="22"/>
      <c r="D17" s="22"/>
      <c r="E17" s="22"/>
      <c r="F17" s="22"/>
      <c r="G17" s="22"/>
      <c r="H17" s="22">
        <f>-(C5+SUM(D16:H16))+C8</f>
        <v>45000</v>
      </c>
    </row>
    <row r="18" spans="2:8" ht="16">
      <c r="B18" s="38" t="s">
        <v>42</v>
      </c>
      <c r="C18" s="22"/>
      <c r="D18" s="22">
        <f>SUM(D15:D17)</f>
        <v>216000</v>
      </c>
      <c r="E18" s="22">
        <f>SUM(E15:E17)</f>
        <v>409000</v>
      </c>
      <c r="F18" s="22">
        <f>SUM(F15:F17)</f>
        <v>577500</v>
      </c>
      <c r="G18" s="22">
        <f>SUM(G15:G17)</f>
        <v>548500</v>
      </c>
      <c r="H18" s="22">
        <f>SUM(H15:H17)</f>
        <v>598600</v>
      </c>
    </row>
    <row r="19" spans="2:8" ht="16">
      <c r="B19" s="38" t="s">
        <v>43</v>
      </c>
      <c r="C19" s="22"/>
      <c r="D19" s="22">
        <f>-D18*$C$7</f>
        <v>-58320.000000000007</v>
      </c>
      <c r="E19" s="22">
        <f>-E18*$C$7</f>
        <v>-110430</v>
      </c>
      <c r="F19" s="22">
        <f>-F18*$C$7</f>
        <v>-155925</v>
      </c>
      <c r="G19" s="22">
        <f>-G18*$C$7</f>
        <v>-148095</v>
      </c>
      <c r="H19" s="22">
        <f>-H18*$C$7</f>
        <v>-161622</v>
      </c>
    </row>
    <row r="20" spans="2:8" ht="16">
      <c r="B20" s="40" t="s">
        <v>44</v>
      </c>
      <c r="C20" s="22"/>
      <c r="D20" s="22">
        <f>SUM(D18:D19)</f>
        <v>157680</v>
      </c>
      <c r="E20" s="22">
        <f>SUM(E18:E19)</f>
        <v>298570</v>
      </c>
      <c r="F20" s="22">
        <f>SUM(F18:F19)</f>
        <v>421575</v>
      </c>
      <c r="G20" s="22">
        <f>SUM(G18:G19)</f>
        <v>400405</v>
      </c>
      <c r="H20" s="22">
        <f>SUM(H18:H19)</f>
        <v>436978</v>
      </c>
    </row>
    <row r="23" spans="2:8" ht="16">
      <c r="B23" s="30" t="s">
        <v>36</v>
      </c>
      <c r="C23" s="30">
        <v>0</v>
      </c>
      <c r="D23" s="30">
        <v>1</v>
      </c>
      <c r="E23" s="30">
        <v>2</v>
      </c>
      <c r="F23" s="30">
        <v>3</v>
      </c>
      <c r="G23" s="30">
        <v>4</v>
      </c>
      <c r="H23" s="30">
        <v>5</v>
      </c>
    </row>
    <row r="24" spans="2:8" ht="16">
      <c r="B24" s="41" t="s">
        <v>40</v>
      </c>
      <c r="C24" s="44"/>
      <c r="D24" s="44">
        <f>D15</f>
        <v>246000</v>
      </c>
      <c r="E24" s="44">
        <f>E15</f>
        <v>439000</v>
      </c>
      <c r="F24" s="44">
        <f>F15</f>
        <v>607500</v>
      </c>
      <c r="G24" s="44">
        <f>G15</f>
        <v>578500</v>
      </c>
      <c r="H24" s="44">
        <f>H15</f>
        <v>583600</v>
      </c>
    </row>
    <row r="25" spans="2:8" ht="16">
      <c r="B25" s="42" t="s">
        <v>43</v>
      </c>
      <c r="C25" s="45"/>
      <c r="D25" s="45">
        <f>D19</f>
        <v>-58320.000000000007</v>
      </c>
      <c r="E25" s="45">
        <f>E19</f>
        <v>-110430</v>
      </c>
      <c r="F25" s="45">
        <f>F19</f>
        <v>-155925</v>
      </c>
      <c r="G25" s="45">
        <f>G19</f>
        <v>-148095</v>
      </c>
      <c r="H25" s="45">
        <f>H19</f>
        <v>-161622</v>
      </c>
    </row>
    <row r="26" spans="2:8" ht="16">
      <c r="B26" s="42" t="s">
        <v>48</v>
      </c>
      <c r="C26" s="43"/>
      <c r="D26" s="43"/>
      <c r="E26" s="43"/>
      <c r="F26" s="43"/>
      <c r="G26" s="43"/>
      <c r="H26" s="45">
        <f>C8</f>
        <v>95000</v>
      </c>
    </row>
    <row r="27" spans="2:8" ht="17" thickBot="1">
      <c r="B27" s="42" t="s">
        <v>49</v>
      </c>
      <c r="C27" s="45">
        <f>-C5</f>
        <v>-200000</v>
      </c>
      <c r="D27" s="31"/>
      <c r="E27" s="31"/>
      <c r="F27" s="31"/>
      <c r="G27" s="31"/>
      <c r="H27" s="31"/>
    </row>
    <row r="28" spans="2:8" ht="16">
      <c r="B28" s="42" t="s">
        <v>50</v>
      </c>
      <c r="C28" s="45">
        <f t="shared" ref="C28:H28" si="0">SUM(C24:C27)</f>
        <v>-200000</v>
      </c>
      <c r="D28" s="45">
        <f t="shared" si="0"/>
        <v>187680</v>
      </c>
      <c r="E28" s="45">
        <f t="shared" si="0"/>
        <v>328570</v>
      </c>
      <c r="F28" s="45">
        <f t="shared" si="0"/>
        <v>451575</v>
      </c>
      <c r="G28" s="45">
        <f t="shared" si="0"/>
        <v>430405</v>
      </c>
      <c r="H28" s="45">
        <f t="shared" si="0"/>
        <v>516978</v>
      </c>
    </row>
    <row r="31" spans="2:8">
      <c r="B31" s="102" t="s">
        <v>31</v>
      </c>
      <c r="C31" s="102"/>
    </row>
    <row r="32" spans="2:8">
      <c r="B32" s="13" t="s">
        <v>32</v>
      </c>
      <c r="C32" s="13" t="s">
        <v>33</v>
      </c>
    </row>
    <row r="33" spans="1:10">
      <c r="B33" s="15">
        <v>0.08</v>
      </c>
      <c r="C33" s="7">
        <f>$C$28+(($D$28/(1+B33)^1)+(($E$28/(1+B33)^2)+(($F$28/(1+B33)^3)+(($G$28/(1+B33)^4)+(($H$28/(1+B33)^5))))))</f>
        <v>1282155.4520319907</v>
      </c>
    </row>
    <row r="34" spans="1:10">
      <c r="B34" s="20">
        <f>B33*(1+0.5)</f>
        <v>0.12</v>
      </c>
      <c r="C34" s="7">
        <f>$C$28+(($D$28/(1+B34)^1)+(($E$28/(1+B34)^2)+(($F$28/(1+B34)^3)+(($G$28/(1+B34)^4)+(($H$28/(1+B34)^5))))))</f>
        <v>1117804.9458762298</v>
      </c>
    </row>
    <row r="35" spans="1:10">
      <c r="B35" s="20">
        <f>B34*(1+0.5)</f>
        <v>0.18</v>
      </c>
      <c r="C35" s="7">
        <f>$C$28+(($D$28/(1+B35)^1)+(($E$28/(1+B35)^2)+(($F$28/(1+B35)^3)+(($G$28/(1+B35)^4)+(($H$28/(1+B35)^5))))))</f>
        <v>917841.15107269585</v>
      </c>
    </row>
    <row r="36" spans="1:10">
      <c r="B36" s="47">
        <f>IRR(C28:H28)</f>
        <v>1.3237150314880957</v>
      </c>
      <c r="C36" s="19">
        <f>$C$28+(($D$28/(1+B36)^1)+(($E$28/(1+B36)^2)+(($F$28/(1+B36)^3)+(($G$28/(1+B36)^4)+(($H$28/(1+B36)^5))))))</f>
        <v>0</v>
      </c>
    </row>
    <row r="37" spans="1:10">
      <c r="B37" s="20">
        <f>B35*(1+0.5)</f>
        <v>0.27</v>
      </c>
      <c r="C37" s="7">
        <f>$C$28+(($D$28/(1+B37)^1)+(($E$28/(1+B37)^2)+(($F$28/(1+B37)^3)+(($G$28/(1+B37)^4)+(($H$28/(1+B37)^5))))))</f>
        <v>693874.11819818465</v>
      </c>
    </row>
    <row r="39" spans="1:10">
      <c r="A39" s="48"/>
      <c r="B39" s="49"/>
      <c r="C39" s="50"/>
      <c r="D39" s="48"/>
      <c r="E39" s="48"/>
      <c r="F39" s="48"/>
      <c r="G39" s="48"/>
      <c r="H39" s="48"/>
      <c r="I39" s="48"/>
      <c r="J39" s="48"/>
    </row>
    <row r="42" spans="1:10" s="3" customFormat="1" ht="160" customHeight="1">
      <c r="B42" s="101" t="s">
        <v>83</v>
      </c>
      <c r="C42" s="101"/>
      <c r="D42" s="101"/>
      <c r="E42" s="101"/>
      <c r="F42" s="101"/>
      <c r="G42" s="101"/>
      <c r="H42" s="101"/>
    </row>
    <row r="43" spans="1:10" s="3" customFormat="1">
      <c r="B43" s="9"/>
      <c r="C43" s="9"/>
      <c r="D43" s="9"/>
      <c r="E43" s="9"/>
      <c r="F43" s="9"/>
      <c r="G43" s="9"/>
      <c r="H43" s="9"/>
    </row>
    <row r="44" spans="1:10" s="3" customFormat="1">
      <c r="B44" s="1" t="s">
        <v>21</v>
      </c>
      <c r="C44" s="1"/>
      <c r="D44" s="8">
        <v>5000</v>
      </c>
      <c r="E44" s="8">
        <v>8000</v>
      </c>
      <c r="F44" s="8">
        <v>12000</v>
      </c>
      <c r="G44" s="8">
        <v>10000</v>
      </c>
      <c r="H44" s="8">
        <v>6000</v>
      </c>
    </row>
    <row r="45" spans="1:10" s="3" customFormat="1">
      <c r="B45" s="1" t="s">
        <v>22</v>
      </c>
      <c r="C45" s="1"/>
      <c r="D45" s="7">
        <v>60</v>
      </c>
      <c r="E45" s="7">
        <f>D45*(1+0.02)</f>
        <v>61.2</v>
      </c>
      <c r="F45" s="7">
        <f>E45*(1+0.02)</f>
        <v>62.424000000000007</v>
      </c>
      <c r="G45" s="7">
        <f>F45*(1+0.02)</f>
        <v>63.672480000000007</v>
      </c>
      <c r="H45" s="7">
        <f>G45*(1+0.02)</f>
        <v>64.945929600000014</v>
      </c>
    </row>
    <row r="46" spans="1:10" s="3" customFormat="1">
      <c r="B46" s="1" t="s">
        <v>35</v>
      </c>
      <c r="C46" s="4"/>
      <c r="D46" s="6">
        <v>0.28000000000000003</v>
      </c>
      <c r="E46" s="6"/>
      <c r="F46" s="6"/>
      <c r="G46" s="6"/>
      <c r="H46" s="6"/>
    </row>
    <row r="47" spans="1:10" s="3" customFormat="1">
      <c r="B47" s="1" t="s">
        <v>23</v>
      </c>
      <c r="C47" s="4"/>
      <c r="D47" s="6">
        <v>0.2</v>
      </c>
      <c r="E47" s="6"/>
      <c r="F47" s="6"/>
      <c r="G47" s="6"/>
      <c r="H47" s="6"/>
    </row>
    <row r="48" spans="1:10" s="3" customFormat="1">
      <c r="B48" s="3" t="s">
        <v>25</v>
      </c>
      <c r="D48" s="7">
        <v>18</v>
      </c>
      <c r="E48" s="7">
        <f>D48*(1+$D$49)</f>
        <v>19.8</v>
      </c>
      <c r="F48" s="7">
        <f>E48*(1+$D$49)</f>
        <v>21.78</v>
      </c>
      <c r="G48" s="7">
        <f>F48*(1+$D$49)</f>
        <v>23.958000000000002</v>
      </c>
      <c r="H48" s="7">
        <f>G48*(1+$D$49)</f>
        <v>26.353800000000003</v>
      </c>
    </row>
    <row r="49" spans="1:18" s="3" customFormat="1">
      <c r="B49" s="1" t="s">
        <v>24</v>
      </c>
      <c r="C49" s="4"/>
      <c r="D49" s="10">
        <v>0.1</v>
      </c>
      <c r="E49" s="9"/>
      <c r="F49" s="9"/>
      <c r="G49" s="9"/>
      <c r="H49" s="9"/>
    </row>
    <row r="50" spans="1:18" s="3" customFormat="1">
      <c r="B50" s="9"/>
      <c r="C50" s="9"/>
      <c r="D50" s="9"/>
      <c r="E50" s="9"/>
      <c r="F50" s="9"/>
      <c r="G50" s="9"/>
      <c r="H50" s="9"/>
    </row>
    <row r="51" spans="1:18">
      <c r="B51" s="5"/>
    </row>
    <row r="52" spans="1:18" ht="16">
      <c r="B52" s="5" t="s">
        <v>1</v>
      </c>
      <c r="C52" s="2" t="s">
        <v>8</v>
      </c>
      <c r="D52" s="2" t="s">
        <v>2</v>
      </c>
      <c r="E52" s="2" t="s">
        <v>3</v>
      </c>
      <c r="F52" s="2" t="s">
        <v>4</v>
      </c>
      <c r="G52" s="2" t="s">
        <v>5</v>
      </c>
      <c r="H52" s="2" t="s">
        <v>9</v>
      </c>
    </row>
    <row r="53" spans="1:18" ht="16">
      <c r="A53" s="5" t="s">
        <v>6</v>
      </c>
      <c r="C53" s="4"/>
      <c r="D53" s="4"/>
      <c r="E53" s="4"/>
      <c r="F53" s="4"/>
      <c r="G53" s="4"/>
    </row>
    <row r="54" spans="1:18" ht="16">
      <c r="B54" s="5" t="s">
        <v>7</v>
      </c>
      <c r="C54" s="4">
        <v>-450000</v>
      </c>
      <c r="D54" s="4"/>
      <c r="E54" s="4"/>
      <c r="F54" s="4"/>
      <c r="G54" s="4"/>
      <c r="M54" s="2"/>
      <c r="N54" s="2"/>
      <c r="O54" s="2"/>
      <c r="P54" s="2"/>
      <c r="Q54" s="2"/>
      <c r="R54" s="2"/>
    </row>
    <row r="55" spans="1:18" ht="16">
      <c r="B55" s="5" t="s">
        <v>10</v>
      </c>
      <c r="C55" s="4"/>
      <c r="D55" s="4">
        <f>C54*D47</f>
        <v>-90000</v>
      </c>
      <c r="E55" s="4">
        <f>D55</f>
        <v>-90000</v>
      </c>
      <c r="F55" s="4">
        <f>E55</f>
        <v>-90000</v>
      </c>
      <c r="G55" s="4">
        <f>F55</f>
        <v>-90000</v>
      </c>
      <c r="H55" s="4">
        <f>G55</f>
        <v>-90000</v>
      </c>
    </row>
    <row r="56" spans="1:18" ht="16">
      <c r="B56" s="5" t="s">
        <v>11</v>
      </c>
      <c r="C56" s="4"/>
      <c r="D56" s="4"/>
      <c r="E56" s="4"/>
      <c r="F56" s="4"/>
      <c r="G56" s="4"/>
      <c r="H56" s="4">
        <v>130000</v>
      </c>
    </row>
    <row r="57" spans="1:18">
      <c r="B57" s="1" t="s">
        <v>12</v>
      </c>
      <c r="C57" s="4">
        <v>-150000</v>
      </c>
      <c r="D57" s="4"/>
      <c r="E57" s="4"/>
      <c r="F57" s="4"/>
      <c r="G57" s="4"/>
      <c r="H57" s="4">
        <v>150000</v>
      </c>
    </row>
    <row r="58" spans="1:18">
      <c r="B58" s="1" t="s">
        <v>13</v>
      </c>
      <c r="C58" s="4">
        <v>18000</v>
      </c>
      <c r="D58" s="4">
        <v>28800</v>
      </c>
      <c r="E58" s="4">
        <v>43000</v>
      </c>
      <c r="F58" s="4">
        <v>36000</v>
      </c>
      <c r="G58" s="4">
        <v>21600</v>
      </c>
      <c r="H58" s="1">
        <v>0</v>
      </c>
    </row>
    <row r="59" spans="1:18">
      <c r="B59" s="1" t="s">
        <v>14</v>
      </c>
      <c r="C59" s="4">
        <f>0-C58</f>
        <v>-18000</v>
      </c>
      <c r="D59" s="4">
        <f>C58-D58</f>
        <v>-10800</v>
      </c>
      <c r="E59" s="4">
        <f>D58-E58</f>
        <v>-14200</v>
      </c>
      <c r="F59" s="4">
        <f>E58-F58</f>
        <v>7000</v>
      </c>
      <c r="G59" s="4">
        <f>F58-G58</f>
        <v>14400</v>
      </c>
      <c r="H59" s="4">
        <f>G58-H58</f>
        <v>21600</v>
      </c>
    </row>
    <row r="60" spans="1:18">
      <c r="B60" s="1" t="s">
        <v>15</v>
      </c>
      <c r="C60" s="4">
        <f>C54+C56+C57</f>
        <v>-600000</v>
      </c>
      <c r="D60" s="4"/>
      <c r="E60" s="4"/>
      <c r="F60" s="4"/>
      <c r="G60" s="4"/>
      <c r="H60" s="4">
        <f>H54+H56+H57</f>
        <v>280000</v>
      </c>
    </row>
    <row r="61" spans="1:18">
      <c r="C61" s="4"/>
      <c r="D61" s="4"/>
      <c r="E61" s="4"/>
      <c r="F61" s="4"/>
      <c r="G61" s="4"/>
      <c r="H61" s="4"/>
    </row>
    <row r="62" spans="1:18">
      <c r="C62" s="4"/>
      <c r="D62" s="4"/>
      <c r="E62" s="4"/>
      <c r="F62" s="4"/>
      <c r="G62" s="4"/>
    </row>
    <row r="63" spans="1:18">
      <c r="A63" s="1" t="s">
        <v>26</v>
      </c>
      <c r="B63" s="1" t="s">
        <v>16</v>
      </c>
      <c r="D63" s="4">
        <f>$D$45*D44</f>
        <v>300000</v>
      </c>
      <c r="E63" s="4">
        <f>$D$45*E44</f>
        <v>480000</v>
      </c>
      <c r="F63" s="4">
        <f>$D$45*F44</f>
        <v>720000</v>
      </c>
      <c r="G63" s="4">
        <f>$D$45*G44</f>
        <v>600000</v>
      </c>
      <c r="H63" s="4">
        <f>$D$45*H44</f>
        <v>360000</v>
      </c>
    </row>
    <row r="64" spans="1:18">
      <c r="B64" s="1" t="s">
        <v>17</v>
      </c>
      <c r="C64" s="4"/>
      <c r="D64" s="4">
        <f>-D48*D44</f>
        <v>-90000</v>
      </c>
      <c r="E64" s="4">
        <f>-E48*E44</f>
        <v>-158400</v>
      </c>
      <c r="F64" s="4">
        <f>-F48*F44</f>
        <v>-261360</v>
      </c>
      <c r="G64" s="4">
        <f>-G48*G44</f>
        <v>-239580.00000000003</v>
      </c>
      <c r="H64" s="4">
        <f>-H48*H44</f>
        <v>-158122.80000000002</v>
      </c>
    </row>
    <row r="65" spans="1:8">
      <c r="B65" s="1" t="s">
        <v>10</v>
      </c>
      <c r="C65" s="4"/>
      <c r="D65" s="4">
        <f>D55</f>
        <v>-90000</v>
      </c>
      <c r="E65" s="4">
        <f>E55</f>
        <v>-90000</v>
      </c>
      <c r="F65" s="4">
        <f>F55</f>
        <v>-90000</v>
      </c>
      <c r="G65" s="4">
        <f>G55</f>
        <v>-90000</v>
      </c>
      <c r="H65" s="4">
        <f>H55</f>
        <v>-90000</v>
      </c>
    </row>
    <row r="66" spans="1:8">
      <c r="B66" s="1" t="s">
        <v>11</v>
      </c>
      <c r="C66" s="4"/>
      <c r="D66" s="4"/>
      <c r="E66" s="4"/>
      <c r="F66" s="4"/>
      <c r="G66" s="4"/>
      <c r="H66" s="4">
        <f>H56</f>
        <v>130000</v>
      </c>
    </row>
    <row r="67" spans="1:8">
      <c r="B67" s="1" t="s">
        <v>18</v>
      </c>
      <c r="C67" s="4"/>
      <c r="D67" s="4">
        <f>SUM(D63:D65)</f>
        <v>120000</v>
      </c>
      <c r="E67" s="4">
        <f>SUM(E63:E65)</f>
        <v>231600</v>
      </c>
      <c r="F67" s="4">
        <f>SUM(F63:F65)</f>
        <v>368640</v>
      </c>
      <c r="G67" s="4">
        <f>SUM(G63:G65)</f>
        <v>270420</v>
      </c>
      <c r="H67" s="4">
        <f>SUM(H63:H65)</f>
        <v>111877.19999999998</v>
      </c>
    </row>
    <row r="68" spans="1:8">
      <c r="B68" s="1" t="s">
        <v>19</v>
      </c>
      <c r="C68" s="4"/>
      <c r="D68" s="4">
        <f>-D67*$D$46</f>
        <v>-33600</v>
      </c>
      <c r="E68" s="4">
        <f>-E67*$D$46</f>
        <v>-64848.000000000007</v>
      </c>
      <c r="F68" s="4">
        <f>-F67*$D$46</f>
        <v>-103219.20000000001</v>
      </c>
      <c r="G68" s="4">
        <f>-G67*$D$46</f>
        <v>-75717.600000000006</v>
      </c>
      <c r="H68" s="4">
        <f>-H67*$D$46</f>
        <v>-31325.615999999998</v>
      </c>
    </row>
    <row r="69" spans="1:8">
      <c r="B69" s="1" t="s">
        <v>20</v>
      </c>
      <c r="C69" s="4"/>
      <c r="D69" s="4">
        <f>D67+D68</f>
        <v>86400</v>
      </c>
      <c r="E69" s="4">
        <f>E67+E68</f>
        <v>166752</v>
      </c>
      <c r="F69" s="4">
        <f>F67+F68</f>
        <v>265420.79999999999</v>
      </c>
      <c r="G69" s="4">
        <f>G67+G68</f>
        <v>194702.4</v>
      </c>
      <c r="H69" s="4">
        <f>H67+H68</f>
        <v>80551.583999999988</v>
      </c>
    </row>
    <row r="72" spans="1:8">
      <c r="A72" s="1" t="s">
        <v>0</v>
      </c>
      <c r="B72" s="1" t="s">
        <v>27</v>
      </c>
      <c r="D72" s="4">
        <f t="shared" ref="D72:H73" si="1">D63</f>
        <v>300000</v>
      </c>
      <c r="E72" s="4">
        <f t="shared" si="1"/>
        <v>480000</v>
      </c>
      <c r="F72" s="4">
        <f t="shared" si="1"/>
        <v>720000</v>
      </c>
      <c r="G72" s="4">
        <f t="shared" si="1"/>
        <v>600000</v>
      </c>
      <c r="H72" s="4">
        <f t="shared" si="1"/>
        <v>360000</v>
      </c>
    </row>
    <row r="73" spans="1:8">
      <c r="B73" s="1" t="s">
        <v>17</v>
      </c>
      <c r="D73" s="4">
        <f t="shared" si="1"/>
        <v>-90000</v>
      </c>
      <c r="E73" s="4">
        <f t="shared" si="1"/>
        <v>-158400</v>
      </c>
      <c r="F73" s="4">
        <f t="shared" si="1"/>
        <v>-261360</v>
      </c>
      <c r="G73" s="4">
        <f t="shared" si="1"/>
        <v>-239580.00000000003</v>
      </c>
      <c r="H73" s="4">
        <f t="shared" si="1"/>
        <v>-158122.80000000002</v>
      </c>
    </row>
    <row r="74" spans="1:8">
      <c r="B74" s="1" t="s">
        <v>19</v>
      </c>
      <c r="D74" s="4">
        <f>D68</f>
        <v>-33600</v>
      </c>
      <c r="E74" s="4">
        <f>E68</f>
        <v>-64848.000000000007</v>
      </c>
      <c r="F74" s="4">
        <f>F68</f>
        <v>-103219.20000000001</v>
      </c>
      <c r="G74" s="4">
        <f>G68</f>
        <v>-75717.600000000006</v>
      </c>
      <c r="H74" s="4">
        <f>H68</f>
        <v>-31325.615999999998</v>
      </c>
    </row>
    <row r="75" spans="1:8">
      <c r="B75" s="11" t="s">
        <v>28</v>
      </c>
      <c r="C75" s="12">
        <f t="shared" ref="C75:H75" si="2">C59</f>
        <v>-18000</v>
      </c>
      <c r="D75" s="12">
        <f t="shared" si="2"/>
        <v>-10800</v>
      </c>
      <c r="E75" s="12">
        <f t="shared" si="2"/>
        <v>-14200</v>
      </c>
      <c r="F75" s="12">
        <f t="shared" si="2"/>
        <v>7000</v>
      </c>
      <c r="G75" s="12">
        <f t="shared" si="2"/>
        <v>14400</v>
      </c>
      <c r="H75" s="12">
        <f t="shared" si="2"/>
        <v>21600</v>
      </c>
    </row>
    <row r="76" spans="1:8">
      <c r="B76" s="21" t="s">
        <v>29</v>
      </c>
      <c r="C76" s="22">
        <f t="shared" ref="C76:H76" si="3">SUM(C72:C75)</f>
        <v>-18000</v>
      </c>
      <c r="D76" s="22">
        <f t="shared" si="3"/>
        <v>165600</v>
      </c>
      <c r="E76" s="22">
        <f t="shared" si="3"/>
        <v>242552</v>
      </c>
      <c r="F76" s="22">
        <f t="shared" si="3"/>
        <v>362420.8</v>
      </c>
      <c r="G76" s="22">
        <f t="shared" si="3"/>
        <v>299102.40000000002</v>
      </c>
      <c r="H76" s="22">
        <f t="shared" si="3"/>
        <v>192151.58399999997</v>
      </c>
    </row>
    <row r="77" spans="1:8" ht="16" thickBot="1">
      <c r="B77" s="25" t="s">
        <v>15</v>
      </c>
      <c r="C77" s="26">
        <f t="shared" ref="C77:H77" si="4">C60</f>
        <v>-600000</v>
      </c>
      <c r="D77" s="26">
        <f t="shared" si="4"/>
        <v>0</v>
      </c>
      <c r="E77" s="26">
        <f t="shared" si="4"/>
        <v>0</v>
      </c>
      <c r="F77" s="26">
        <f t="shared" si="4"/>
        <v>0</v>
      </c>
      <c r="G77" s="26">
        <f t="shared" si="4"/>
        <v>0</v>
      </c>
      <c r="H77" s="26">
        <f t="shared" si="4"/>
        <v>280000</v>
      </c>
    </row>
    <row r="78" spans="1:8" ht="16" thickTop="1">
      <c r="B78" s="23" t="s">
        <v>30</v>
      </c>
      <c r="C78" s="24">
        <f t="shared" ref="C78:H78" si="5">SUM(C76:C77)</f>
        <v>-618000</v>
      </c>
      <c r="D78" s="24">
        <f t="shared" si="5"/>
        <v>165600</v>
      </c>
      <c r="E78" s="24">
        <f t="shared" si="5"/>
        <v>242552</v>
      </c>
      <c r="F78" s="24">
        <f t="shared" si="5"/>
        <v>362420.8</v>
      </c>
      <c r="G78" s="24">
        <f t="shared" si="5"/>
        <v>299102.40000000002</v>
      </c>
      <c r="H78" s="24">
        <f t="shared" si="5"/>
        <v>472151.58399999997</v>
      </c>
    </row>
    <row r="79" spans="1:8">
      <c r="F79" s="4"/>
    </row>
    <row r="82" spans="1:10">
      <c r="B82" s="102" t="s">
        <v>31</v>
      </c>
      <c r="C82" s="102"/>
      <c r="D82" s="14"/>
      <c r="E82" s="16"/>
    </row>
    <row r="83" spans="1:10">
      <c r="B83" s="2" t="s">
        <v>32</v>
      </c>
      <c r="C83" s="2" t="s">
        <v>33</v>
      </c>
    </row>
    <row r="84" spans="1:10">
      <c r="B84" s="15">
        <v>0.05</v>
      </c>
      <c r="C84" s="7">
        <f t="shared" ref="C84:C90" si="6">$C$78+(($D$78/(1+B84)^1)+(($E$78/(1+B84)^2)+(($F$78/(1+B84)^3)+(($G$78/(1+B84)^4)+(($H$78/(1+B84)^5))))))</f>
        <v>688804.218602821</v>
      </c>
    </row>
    <row r="85" spans="1:10">
      <c r="B85" s="20">
        <f>B84*(1+0.5)</f>
        <v>7.5000000000000011E-2</v>
      </c>
      <c r="C85" s="7">
        <f t="shared" si="6"/>
        <v>590518.41814826941</v>
      </c>
    </row>
    <row r="86" spans="1:10">
      <c r="B86" s="20">
        <f>B85*(1+0.5)</f>
        <v>0.11250000000000002</v>
      </c>
      <c r="C86" s="7">
        <f t="shared" si="6"/>
        <v>462375.00842158357</v>
      </c>
    </row>
    <row r="87" spans="1:10">
      <c r="B87" s="20">
        <f>B86*(1+0.5)</f>
        <v>0.16875000000000001</v>
      </c>
      <c r="C87" s="7">
        <f t="shared" si="6"/>
        <v>305075.92520650208</v>
      </c>
    </row>
    <row r="88" spans="1:10">
      <c r="B88" s="20">
        <f>B87*(1+0.5)</f>
        <v>0.25312500000000004</v>
      </c>
      <c r="C88" s="7">
        <f t="shared" si="6"/>
        <v>126874.28078742046</v>
      </c>
    </row>
    <row r="89" spans="1:10">
      <c r="A89" s="17" t="s">
        <v>34</v>
      </c>
      <c r="B89" s="18">
        <f>IRR(C78:H78)</f>
        <v>0.33498253122688793</v>
      </c>
      <c r="C89" s="19">
        <f t="shared" si="6"/>
        <v>0</v>
      </c>
    </row>
    <row r="90" spans="1:10">
      <c r="B90" s="20">
        <f>B88*(1+0.5)</f>
        <v>0.37968750000000007</v>
      </c>
      <c r="C90" s="7">
        <f t="shared" si="6"/>
        <v>-55562.785344290198</v>
      </c>
    </row>
    <row r="91" spans="1:10">
      <c r="A91" s="27"/>
      <c r="B91" s="28"/>
      <c r="C91" s="29"/>
      <c r="D91" s="27"/>
      <c r="E91" s="27"/>
      <c r="F91" s="27"/>
      <c r="G91" s="27"/>
      <c r="H91" s="27"/>
      <c r="I91" s="27"/>
      <c r="J91" s="27"/>
    </row>
    <row r="92" spans="1:10">
      <c r="B92" s="10"/>
      <c r="C92" s="4"/>
    </row>
    <row r="130" spans="2:3">
      <c r="B130" s="20"/>
      <c r="C130" s="7"/>
    </row>
  </sheetData>
  <mergeCells count="4">
    <mergeCell ref="B42:H42"/>
    <mergeCell ref="B82:C82"/>
    <mergeCell ref="B3:H3"/>
    <mergeCell ref="B31:C31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C80EF-E7DE-1048-B240-E0E672A36D9A}">
  <dimension ref="A3:I32"/>
  <sheetViews>
    <sheetView zoomScale="150" workbookViewId="0">
      <selection activeCell="B13" sqref="B13:G13"/>
    </sheetView>
  </sheetViews>
  <sheetFormatPr baseColWidth="10" defaultRowHeight="15"/>
  <cols>
    <col min="1" max="1" width="10.83203125" style="1"/>
    <col min="2" max="7" width="14.83203125" style="1" customWidth="1"/>
    <col min="8" max="9" width="12.83203125" style="1" customWidth="1"/>
    <col min="10" max="16384" width="10.83203125" style="1"/>
  </cols>
  <sheetData>
    <row r="3" spans="1:9" ht="15" customHeight="1">
      <c r="A3" s="108" t="s">
        <v>64</v>
      </c>
      <c r="B3" s="105" t="s">
        <v>51</v>
      </c>
      <c r="C3" s="106"/>
      <c r="D3" s="107"/>
      <c r="F3" s="105" t="s">
        <v>55</v>
      </c>
      <c r="G3" s="106"/>
      <c r="H3" s="107"/>
    </row>
    <row r="4" spans="1:9">
      <c r="A4" s="108"/>
      <c r="B4" s="53" t="s">
        <v>52</v>
      </c>
      <c r="C4" s="54" t="s">
        <v>53</v>
      </c>
      <c r="D4" s="55" t="s">
        <v>54</v>
      </c>
      <c r="F4" s="53" t="s">
        <v>52</v>
      </c>
      <c r="G4" s="54" t="s">
        <v>53</v>
      </c>
      <c r="H4" s="52" t="s">
        <v>54</v>
      </c>
    </row>
    <row r="5" spans="1:9">
      <c r="A5" s="108"/>
      <c r="B5" s="56">
        <v>4</v>
      </c>
      <c r="C5" s="57">
        <v>0.1</v>
      </c>
      <c r="D5" s="58">
        <f>(((1+C5)^B5)-1)/(C5*(1+C5)^B5)</f>
        <v>3.169865446349295</v>
      </c>
      <c r="F5" s="56">
        <v>4</v>
      </c>
      <c r="G5" s="57">
        <v>0.1</v>
      </c>
      <c r="H5" s="58">
        <f>G5/(1-((1/(1+G5)^F5)))</f>
        <v>0.31547080370609765</v>
      </c>
    </row>
    <row r="6" spans="1:9">
      <c r="B6" s="59"/>
      <c r="C6" s="60"/>
      <c r="D6" s="61"/>
    </row>
    <row r="7" spans="1:9">
      <c r="B7" s="59"/>
      <c r="C7" s="60"/>
      <c r="D7" s="61"/>
    </row>
    <row r="8" spans="1:9">
      <c r="A8" s="108" t="s">
        <v>58</v>
      </c>
      <c r="B8" s="105" t="s">
        <v>51</v>
      </c>
      <c r="C8" s="106"/>
      <c r="D8" s="107"/>
      <c r="F8" s="105" t="s">
        <v>55</v>
      </c>
      <c r="G8" s="106"/>
      <c r="H8" s="107"/>
    </row>
    <row r="9" spans="1:9">
      <c r="A9" s="108"/>
      <c r="B9" s="53" t="s">
        <v>52</v>
      </c>
      <c r="C9" s="54" t="s">
        <v>53</v>
      </c>
      <c r="D9" s="55" t="s">
        <v>54</v>
      </c>
      <c r="F9" s="53" t="s">
        <v>52</v>
      </c>
      <c r="G9" s="54" t="s">
        <v>53</v>
      </c>
      <c r="H9" s="52" t="s">
        <v>54</v>
      </c>
    </row>
    <row r="10" spans="1:9">
      <c r="A10" s="108"/>
      <c r="B10" s="56">
        <v>3</v>
      </c>
      <c r="C10" s="57">
        <v>0.1</v>
      </c>
      <c r="D10" s="58">
        <f>(((1+C10)^B10)-1)/(C10*(1+C10)^B10)</f>
        <v>2.4868519909842246</v>
      </c>
      <c r="F10" s="56">
        <v>3</v>
      </c>
      <c r="G10" s="57">
        <v>0.1</v>
      </c>
      <c r="H10" s="58">
        <f>G10/(1-((1/(1+G10)^F10)))</f>
        <v>0.40211480362537733</v>
      </c>
    </row>
    <row r="11" spans="1:9">
      <c r="B11" s="59"/>
      <c r="C11" s="60"/>
      <c r="D11" s="61"/>
    </row>
    <row r="12" spans="1:9">
      <c r="B12" s="59"/>
      <c r="C12" s="60"/>
      <c r="D12" s="61"/>
    </row>
    <row r="13" spans="1:9" ht="88" customHeight="1">
      <c r="B13" s="104" t="s">
        <v>65</v>
      </c>
      <c r="C13" s="104"/>
      <c r="D13" s="104"/>
      <c r="E13" s="104"/>
      <c r="F13" s="104"/>
      <c r="G13" s="104"/>
      <c r="H13" s="64"/>
      <c r="I13" s="64"/>
    </row>
    <row r="14" spans="1:9">
      <c r="B14" s="62"/>
    </row>
    <row r="15" spans="1:9">
      <c r="B15" s="63" t="s">
        <v>60</v>
      </c>
      <c r="C15" s="13">
        <v>0</v>
      </c>
      <c r="D15" s="13">
        <v>1</v>
      </c>
      <c r="E15" s="13">
        <v>2</v>
      </c>
      <c r="F15" s="13">
        <v>3</v>
      </c>
      <c r="G15" s="13">
        <v>4</v>
      </c>
      <c r="H15" s="13"/>
    </row>
    <row r="17" spans="1:8">
      <c r="A17" s="65" t="s">
        <v>57</v>
      </c>
      <c r="B17" s="66" t="s">
        <v>56</v>
      </c>
      <c r="C17" s="67"/>
      <c r="D17" s="67"/>
      <c r="E17" s="67"/>
      <c r="F17" s="67"/>
      <c r="G17" s="67"/>
      <c r="H17" s="4"/>
    </row>
    <row r="18" spans="1:8">
      <c r="A18" s="68"/>
      <c r="B18" s="66" t="s">
        <v>59</v>
      </c>
      <c r="C18" s="67"/>
      <c r="D18" s="67"/>
      <c r="E18" s="67"/>
      <c r="F18" s="67"/>
      <c r="G18" s="67"/>
      <c r="H18" s="4"/>
    </row>
    <row r="19" spans="1:8">
      <c r="A19" s="72"/>
      <c r="B19" s="75"/>
      <c r="C19" s="76"/>
      <c r="D19" s="77"/>
      <c r="E19" s="77"/>
      <c r="F19" s="77"/>
      <c r="G19" s="77"/>
      <c r="H19" s="4"/>
    </row>
    <row r="20" spans="1:8">
      <c r="B20" s="73" t="s">
        <v>63</v>
      </c>
      <c r="C20" s="74">
        <f>C17</f>
        <v>0</v>
      </c>
      <c r="D20" s="74">
        <f>D18/(1+$C$5)^D15</f>
        <v>0</v>
      </c>
      <c r="E20" s="74">
        <f>E18/(1+$C$5)^E15</f>
        <v>0</v>
      </c>
      <c r="F20" s="74">
        <f>F18/(1+$C$5)^F15</f>
        <v>0</v>
      </c>
      <c r="G20" s="74">
        <f>G18/(1+$C$5)^G15</f>
        <v>0</v>
      </c>
      <c r="H20" s="4"/>
    </row>
    <row r="21" spans="1:8">
      <c r="A21" s="72"/>
      <c r="B21" s="73"/>
      <c r="C21" s="74"/>
      <c r="D21" s="74"/>
      <c r="E21" s="74"/>
      <c r="F21" s="74"/>
      <c r="G21" s="74"/>
      <c r="H21" s="4"/>
    </row>
    <row r="22" spans="1:8">
      <c r="A22" s="72"/>
      <c r="B22" s="73"/>
      <c r="C22" s="74"/>
      <c r="D22" s="74"/>
      <c r="E22" s="74"/>
      <c r="F22" s="74"/>
      <c r="G22" s="74"/>
      <c r="H22" s="4"/>
    </row>
    <row r="24" spans="1:8">
      <c r="A24" s="69" t="s">
        <v>58</v>
      </c>
      <c r="B24" s="70" t="s">
        <v>56</v>
      </c>
      <c r="C24" s="71"/>
      <c r="D24" s="71"/>
      <c r="E24" s="71"/>
      <c r="F24" s="71"/>
      <c r="G24" s="71"/>
    </row>
    <row r="25" spans="1:8">
      <c r="A25" s="69"/>
      <c r="B25" s="70" t="s">
        <v>59</v>
      </c>
      <c r="C25" s="71"/>
      <c r="D25" s="71"/>
      <c r="E25" s="71"/>
      <c r="F25" s="71"/>
      <c r="G25" s="71"/>
    </row>
    <row r="27" spans="1:8">
      <c r="B27" s="73" t="s">
        <v>63</v>
      </c>
      <c r="C27" s="74">
        <f>C24</f>
        <v>0</v>
      </c>
      <c r="D27" s="74">
        <f>D25/(1+$C$10)^D15</f>
        <v>0</v>
      </c>
      <c r="E27" s="74">
        <f>E25/(1+$C$10)^E15</f>
        <v>0</v>
      </c>
      <c r="F27" s="74">
        <f>F25/(1+$C$10)^F15</f>
        <v>0</v>
      </c>
      <c r="G27" s="74"/>
    </row>
    <row r="28" spans="1:8">
      <c r="D28" s="78"/>
    </row>
    <row r="30" spans="1:8">
      <c r="B30" s="66" t="s">
        <v>61</v>
      </c>
      <c r="C30" s="79">
        <f>SUM(C20:G20)*H5</f>
        <v>0</v>
      </c>
    </row>
    <row r="31" spans="1:8">
      <c r="A31" s="13"/>
      <c r="E31" s="81" t="str">
        <f>IF(C17="","",IF(C30&gt;C32,"Conviene B","Conviene A"))</f>
        <v/>
      </c>
    </row>
    <row r="32" spans="1:8">
      <c r="B32" s="70" t="s">
        <v>62</v>
      </c>
      <c r="C32" s="80">
        <f>SUM(C27:F27)*H10</f>
        <v>0</v>
      </c>
    </row>
  </sheetData>
  <mergeCells count="7">
    <mergeCell ref="B13:G13"/>
    <mergeCell ref="F3:H3"/>
    <mergeCell ref="B8:D8"/>
    <mergeCell ref="F8:H8"/>
    <mergeCell ref="A3:A5"/>
    <mergeCell ref="A8:A10"/>
    <mergeCell ref="B3:D3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CF7D4-4061-2E49-9CCA-AB830D25704D}">
  <dimension ref="A1:K25"/>
  <sheetViews>
    <sheetView tabSelected="1" topLeftCell="C1" zoomScale="168" workbookViewId="0">
      <selection activeCell="I26" sqref="I26"/>
    </sheetView>
  </sheetViews>
  <sheetFormatPr baseColWidth="10" defaultRowHeight="15"/>
  <cols>
    <col min="1" max="1" width="10.83203125" style="1"/>
    <col min="2" max="2" width="11.5" style="1" bestFit="1" customWidth="1"/>
    <col min="3" max="3" width="12.5" style="1" customWidth="1"/>
    <col min="4" max="4" width="10.83203125" style="1" bestFit="1" customWidth="1"/>
    <col min="5" max="11" width="13.33203125" style="1" customWidth="1"/>
    <col min="12" max="16384" width="10.83203125" style="1"/>
  </cols>
  <sheetData>
    <row r="1" spans="1:11">
      <c r="D1" s="105" t="s">
        <v>51</v>
      </c>
      <c r="E1" s="106"/>
      <c r="F1" s="107"/>
      <c r="H1" s="105" t="s">
        <v>55</v>
      </c>
      <c r="I1" s="106"/>
      <c r="J1" s="107"/>
    </row>
    <row r="2" spans="1:11">
      <c r="D2" s="53" t="s">
        <v>52</v>
      </c>
      <c r="E2" s="54" t="s">
        <v>53</v>
      </c>
      <c r="F2" s="55" t="s">
        <v>54</v>
      </c>
      <c r="H2" s="53" t="s">
        <v>52</v>
      </c>
      <c r="I2" s="54" t="s">
        <v>53</v>
      </c>
      <c r="J2" s="52" t="s">
        <v>54</v>
      </c>
    </row>
    <row r="3" spans="1:11">
      <c r="D3" s="56">
        <v>6</v>
      </c>
      <c r="E3" s="57">
        <v>0.15</v>
      </c>
      <c r="F3" s="58">
        <f>(((1+E3)^D3)-1)/(E3*(1+E3)^D3)</f>
        <v>3.784482693922957</v>
      </c>
      <c r="H3" s="56">
        <f>D3</f>
        <v>6</v>
      </c>
      <c r="I3" s="57">
        <f>E3</f>
        <v>0.15</v>
      </c>
      <c r="J3" s="58">
        <f>I3/(1-((1/(1+I3)^H3)))</f>
        <v>0.26423690656738341</v>
      </c>
    </row>
    <row r="4" spans="1:11">
      <c r="D4" s="92"/>
      <c r="E4" s="93"/>
      <c r="F4" s="94"/>
      <c r="H4" s="92"/>
      <c r="I4" s="93"/>
      <c r="J4" s="94"/>
    </row>
    <row r="5" spans="1:11" ht="29" customHeight="1">
      <c r="C5" s="110" t="s">
        <v>67</v>
      </c>
      <c r="D5" s="111"/>
      <c r="E5" s="111"/>
      <c r="F5" s="111"/>
      <c r="G5" s="111"/>
      <c r="H5" s="111"/>
      <c r="I5" s="111"/>
      <c r="J5" s="111"/>
      <c r="K5" s="112"/>
    </row>
    <row r="6" spans="1:11">
      <c r="C6" s="82"/>
      <c r="D6" s="83"/>
      <c r="E6" s="89">
        <v>0</v>
      </c>
      <c r="F6" s="89">
        <v>1</v>
      </c>
      <c r="G6" s="89">
        <v>2</v>
      </c>
      <c r="H6" s="89">
        <v>3</v>
      </c>
      <c r="I6" s="89">
        <v>4</v>
      </c>
      <c r="J6" s="89">
        <v>5</v>
      </c>
      <c r="K6" s="89">
        <v>6</v>
      </c>
    </row>
    <row r="7" spans="1:11">
      <c r="C7" s="84" t="s">
        <v>66</v>
      </c>
      <c r="D7" s="85"/>
      <c r="E7" s="90"/>
      <c r="F7" s="90">
        <v>2000</v>
      </c>
      <c r="G7" s="90">
        <v>3200</v>
      </c>
      <c r="H7" s="90">
        <v>4000</v>
      </c>
      <c r="I7" s="90">
        <v>4400</v>
      </c>
      <c r="J7" s="91"/>
      <c r="K7" s="91"/>
    </row>
    <row r="8" spans="1:11">
      <c r="C8" s="84" t="s">
        <v>68</v>
      </c>
      <c r="D8" s="85"/>
      <c r="E8" s="90">
        <v>7000</v>
      </c>
      <c r="F8" s="90">
        <v>5000</v>
      </c>
      <c r="G8" s="90">
        <v>3600</v>
      </c>
      <c r="H8" s="90">
        <v>2000</v>
      </c>
      <c r="I8" s="90">
        <v>0</v>
      </c>
      <c r="J8" s="91"/>
      <c r="K8" s="91"/>
    </row>
    <row r="9" spans="1:11">
      <c r="C9" s="87" t="s">
        <v>69</v>
      </c>
      <c r="D9" s="85"/>
      <c r="E9" s="90">
        <v>16000</v>
      </c>
      <c r="F9" s="91"/>
      <c r="G9" s="91"/>
      <c r="H9" s="91"/>
      <c r="I9" s="91"/>
      <c r="J9" s="91"/>
      <c r="K9" s="91"/>
    </row>
    <row r="10" spans="1:11">
      <c r="C10" s="87" t="s">
        <v>70</v>
      </c>
      <c r="D10" s="85"/>
      <c r="E10" s="91"/>
      <c r="F10" s="90">
        <v>1800</v>
      </c>
      <c r="G10" s="90">
        <v>18000</v>
      </c>
      <c r="H10" s="90">
        <v>18000</v>
      </c>
      <c r="I10" s="90">
        <v>18000</v>
      </c>
      <c r="J10" s="90">
        <v>18000</v>
      </c>
      <c r="K10" s="90">
        <v>18000</v>
      </c>
    </row>
    <row r="11" spans="1:11">
      <c r="C11" s="88" t="s">
        <v>71</v>
      </c>
      <c r="D11" s="11"/>
      <c r="E11" s="11"/>
      <c r="F11" s="11"/>
      <c r="G11" s="11"/>
      <c r="H11" s="11"/>
      <c r="I11" s="11"/>
      <c r="J11" s="11"/>
      <c r="K11" s="90">
        <v>4000</v>
      </c>
    </row>
    <row r="12" spans="1:11" ht="16" thickBot="1">
      <c r="C12" s="109" t="s">
        <v>72</v>
      </c>
      <c r="D12" s="109"/>
      <c r="E12" s="109"/>
      <c r="F12" s="109"/>
      <c r="G12" s="109"/>
      <c r="H12" s="109"/>
      <c r="I12" s="109"/>
      <c r="J12" s="109"/>
      <c r="K12" s="109"/>
    </row>
    <row r="13" spans="1:11" ht="16" thickTop="1"/>
    <row r="15" spans="1:11">
      <c r="A15" s="95" t="s">
        <v>73</v>
      </c>
      <c r="B15" s="113" t="s">
        <v>75</v>
      </c>
      <c r="C15" s="96" t="s">
        <v>76</v>
      </c>
      <c r="D15" s="97">
        <f>E9+(F10*F3)-((K11/(1+E3)^K6))</f>
        <v>21082.7584654151</v>
      </c>
    </row>
    <row r="16" spans="1:11">
      <c r="A16" s="98"/>
      <c r="B16" s="113"/>
      <c r="C16" s="96" t="s">
        <v>74</v>
      </c>
      <c r="D16" s="97">
        <f>-D15*J3</f>
        <v>-5570.8428788086012</v>
      </c>
      <c r="F16" s="4"/>
    </row>
    <row r="18" spans="1:11">
      <c r="A18" s="46" t="s">
        <v>77</v>
      </c>
      <c r="B18" s="1" t="s">
        <v>78</v>
      </c>
      <c r="C18" s="1" t="str">
        <f>C7</f>
        <v>Costi di manutenzione</v>
      </c>
      <c r="E18" s="90">
        <f>E7</f>
        <v>0</v>
      </c>
      <c r="F18" s="90">
        <f>-F7</f>
        <v>-2000</v>
      </c>
      <c r="G18" s="90">
        <f t="shared" ref="G18:I18" si="0">-G7</f>
        <v>-3200</v>
      </c>
      <c r="H18" s="90">
        <f t="shared" si="0"/>
        <v>-4000</v>
      </c>
      <c r="I18" s="90">
        <f t="shared" si="0"/>
        <v>-4400</v>
      </c>
    </row>
    <row r="19" spans="1:11">
      <c r="C19" s="1" t="str">
        <f>C8</f>
        <v>Valori di realizzo</v>
      </c>
      <c r="E19" s="90">
        <f>E8</f>
        <v>7000</v>
      </c>
      <c r="F19" s="90">
        <f t="shared" ref="F19:I19" si="1">F8</f>
        <v>5000</v>
      </c>
      <c r="G19" s="90">
        <f t="shared" si="1"/>
        <v>3600</v>
      </c>
      <c r="H19" s="90">
        <f t="shared" si="1"/>
        <v>2000</v>
      </c>
      <c r="I19" s="90">
        <f t="shared" si="1"/>
        <v>0</v>
      </c>
    </row>
    <row r="20" spans="1:11">
      <c r="C20" s="1" t="s">
        <v>79</v>
      </c>
      <c r="E20" s="90"/>
      <c r="F20" s="90">
        <f>-E19*(1+$E$3)</f>
        <v>-8049.9999999999991</v>
      </c>
      <c r="G20" s="90">
        <f t="shared" ref="G20:I20" si="2">-F19*(1+$E$3)</f>
        <v>-5750</v>
      </c>
      <c r="H20" s="90">
        <f t="shared" si="2"/>
        <v>-4140</v>
      </c>
      <c r="I20" s="90">
        <f t="shared" si="2"/>
        <v>-2300</v>
      </c>
    </row>
    <row r="21" spans="1:11">
      <c r="C21" s="1" t="s">
        <v>81</v>
      </c>
      <c r="E21" s="90"/>
      <c r="F21" s="90">
        <f>SUM(F18:F20)</f>
        <v>-5049.9999999999991</v>
      </c>
      <c r="G21" s="90">
        <f t="shared" ref="G21:I21" si="3">SUM(G18:G20)</f>
        <v>-5350</v>
      </c>
      <c r="H21" s="90">
        <f t="shared" si="3"/>
        <v>-6140</v>
      </c>
      <c r="I21" s="90">
        <f t="shared" si="3"/>
        <v>-6700</v>
      </c>
    </row>
    <row r="22" spans="1:11">
      <c r="E22" s="86"/>
      <c r="F22" s="86"/>
      <c r="G22" s="86"/>
      <c r="H22" s="86"/>
      <c r="I22" s="86"/>
    </row>
    <row r="23" spans="1:11">
      <c r="E23" s="86"/>
      <c r="F23" s="86"/>
      <c r="G23" s="86"/>
      <c r="H23" s="86"/>
      <c r="I23" s="86"/>
    </row>
    <row r="25" spans="1:11" ht="30" customHeight="1">
      <c r="D25" s="99" t="s">
        <v>80</v>
      </c>
      <c r="E25" s="3"/>
      <c r="F25" s="100" t="str">
        <f>IF(F21&lt;=$D$16,"Sostituisci entro fine anno","")</f>
        <v/>
      </c>
      <c r="G25" s="100" t="str">
        <f t="shared" ref="G25:K25" si="4">IF(G21&lt;=$D$16,"Sostituisci entro fine anno","")</f>
        <v/>
      </c>
      <c r="H25" s="100" t="str">
        <f>IF(H21&lt;=$D$16,"Sostituisci","")</f>
        <v>Sostituisci</v>
      </c>
      <c r="I25" s="114" t="str">
        <f>IF(I21&lt;=$D$16,"Sostituisci","")</f>
        <v>Sostituisci</v>
      </c>
      <c r="J25" s="100" t="str">
        <f t="shared" si="4"/>
        <v/>
      </c>
      <c r="K25" s="100" t="str">
        <f t="shared" si="4"/>
        <v/>
      </c>
    </row>
  </sheetData>
  <mergeCells count="5">
    <mergeCell ref="C12:K12"/>
    <mergeCell ref="C5:K5"/>
    <mergeCell ref="D1:F1"/>
    <mergeCell ref="H1:J1"/>
    <mergeCell ref="B15:B16"/>
  </mergeCells>
  <conditionalFormatting sqref="E21:I21">
    <cfRule type="cellIs" dxfId="0" priority="1" stopIfTrue="1" operator="lessThan">
      <formula>$D$16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Capital Budg_1</vt:lpstr>
      <vt:lpstr>CAE</vt:lpstr>
      <vt:lpstr>Sost-Ant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Piras</dc:creator>
  <cp:lastModifiedBy>Luca Piras</cp:lastModifiedBy>
  <dcterms:created xsi:type="dcterms:W3CDTF">2018-03-26T15:27:08Z</dcterms:created>
  <dcterms:modified xsi:type="dcterms:W3CDTF">2018-12-20T18:31:08Z</dcterms:modified>
</cp:coreProperties>
</file>