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piras/Documents/Università/Didattica/Miei Corsi/Lezioni/Fogli Excel Triennale/"/>
    </mc:Choice>
  </mc:AlternateContent>
  <xr:revisionPtr revIDLastSave="0" documentId="13_ncr:1_{1C153BBB-E681-3F49-B8D5-C88A6EE92AE1}" xr6:coauthVersionLast="45" xr6:coauthVersionMax="45" xr10:uidLastSave="{00000000-0000-0000-0000-000000000000}"/>
  <bookViews>
    <workbookView minimized="1" xWindow="3780" yWindow="2180" windowWidth="24080" windowHeight="13080" activeTab="4" xr2:uid="{8DAE4305-7A04-5245-9B6B-A16479937E56}"/>
  </bookViews>
  <sheets>
    <sheet name="Capitalizzazione" sheetId="1" r:id="rId1"/>
    <sheet name="Val Attuale" sheetId="2" r:id="rId2"/>
    <sheet name="Tassi" sheetId="3" r:id="rId3"/>
    <sheet name="Obbligazioni e Azioni" sheetId="4" r:id="rId4"/>
    <sheet name="VAN-TIR et al.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0" i="4" l="1"/>
  <c r="F111" i="4" s="1"/>
  <c r="D103" i="4"/>
  <c r="D102" i="4"/>
  <c r="C109" i="4"/>
  <c r="C110" i="4" s="1"/>
  <c r="F108" i="4"/>
  <c r="B103" i="4"/>
  <c r="B114" i="4" s="1"/>
  <c r="C102" i="4"/>
  <c r="D113" i="4" s="1"/>
  <c r="B102" i="4"/>
  <c r="F113" i="4" s="1"/>
  <c r="C101" i="4"/>
  <c r="D112" i="4" s="1"/>
  <c r="B101" i="4"/>
  <c r="D101" i="4" s="1"/>
  <c r="F112" i="4" s="1"/>
  <c r="C100" i="4"/>
  <c r="D111" i="4" s="1"/>
  <c r="B100" i="4"/>
  <c r="B111" i="4" s="1"/>
  <c r="C99" i="4"/>
  <c r="D110" i="4" s="1"/>
  <c r="B99" i="4"/>
  <c r="B110" i="4" s="1"/>
  <c r="C98" i="4"/>
  <c r="D109" i="4" s="1"/>
  <c r="B98" i="4"/>
  <c r="B109" i="4" s="1"/>
  <c r="D91" i="4"/>
  <c r="G80" i="4" s="1"/>
  <c r="C84" i="4"/>
  <c r="C103" i="4" s="1"/>
  <c r="D99" i="4" l="1"/>
  <c r="B112" i="4"/>
  <c r="D98" i="4"/>
  <c r="F109" i="4" s="1"/>
  <c r="E99" i="4"/>
  <c r="E102" i="4"/>
  <c r="E110" i="4"/>
  <c r="C111" i="4"/>
  <c r="D114" i="4"/>
  <c r="E103" i="4"/>
  <c r="E101" i="4"/>
  <c r="F110" i="4"/>
  <c r="E109" i="4"/>
  <c r="G109" i="4" s="1"/>
  <c r="E100" i="4"/>
  <c r="B113" i="4"/>
  <c r="E98" i="4" l="1"/>
  <c r="E104" i="4" s="1"/>
  <c r="G105" i="4" s="1"/>
  <c r="G81" i="4" s="1"/>
  <c r="C112" i="4"/>
  <c r="E111" i="4"/>
  <c r="G111" i="4" s="1"/>
  <c r="G110" i="4"/>
  <c r="E112" i="4" l="1"/>
  <c r="G112" i="4" s="1"/>
  <c r="C113" i="4"/>
  <c r="C114" i="4" l="1"/>
  <c r="E114" i="4" s="1"/>
  <c r="G114" i="4" s="1"/>
  <c r="G116" i="4" s="1"/>
  <c r="E113" i="4"/>
  <c r="G113" i="4" s="1"/>
  <c r="C62" i="5" l="1"/>
  <c r="H64" i="5" s="1"/>
  <c r="I64" i="5" l="1"/>
  <c r="D64" i="5"/>
  <c r="C64" i="5"/>
  <c r="D52" i="5"/>
  <c r="E52" i="5"/>
  <c r="C54" i="5" s="1"/>
  <c r="F56" i="5" s="1"/>
  <c r="F52" i="5"/>
  <c r="C52" i="5"/>
  <c r="C56" i="5" s="1"/>
  <c r="C48" i="5"/>
  <c r="C46" i="5"/>
  <c r="E48" i="5" s="1"/>
  <c r="C38" i="5"/>
  <c r="C36" i="5"/>
  <c r="D56" i="5" l="1"/>
  <c r="G64" i="5"/>
  <c r="F64" i="5"/>
  <c r="E64" i="5"/>
  <c r="D48" i="5"/>
  <c r="F48" i="5"/>
  <c r="E38" i="5"/>
  <c r="E56" i="5"/>
  <c r="D38" i="5"/>
  <c r="C65" i="4"/>
  <c r="G38" i="5" l="1"/>
  <c r="G48" i="5"/>
  <c r="G56" i="5"/>
  <c r="K64" i="5"/>
  <c r="C53" i="4"/>
  <c r="C40" i="4"/>
  <c r="C42" i="4" s="1"/>
  <c r="D29" i="4"/>
  <c r="D27" i="4"/>
  <c r="C16" i="4"/>
  <c r="E13" i="4"/>
  <c r="G18" i="4" s="1"/>
  <c r="C8" i="4"/>
  <c r="D8" i="4"/>
  <c r="H12" i="3"/>
  <c r="G12" i="3"/>
  <c r="F12" i="3"/>
  <c r="E12" i="3"/>
  <c r="D12" i="3"/>
  <c r="H9" i="3"/>
  <c r="G9" i="3"/>
  <c r="F9" i="3"/>
  <c r="E9" i="3"/>
  <c r="D9" i="3"/>
  <c r="H7" i="3"/>
  <c r="G7" i="3"/>
  <c r="F7" i="3"/>
  <c r="E7" i="3"/>
  <c r="D7" i="3"/>
  <c r="D17" i="4" l="1"/>
  <c r="E17" i="4"/>
  <c r="D16" i="4"/>
  <c r="E18" i="4"/>
  <c r="G16" i="4"/>
  <c r="F19" i="4"/>
  <c r="G19" i="4"/>
  <c r="F16" i="4"/>
  <c r="G17" i="4"/>
  <c r="F18" i="4"/>
  <c r="E16" i="4"/>
  <c r="F17" i="4"/>
  <c r="K46" i="1"/>
  <c r="G51" i="1"/>
  <c r="F51" i="1"/>
  <c r="E51" i="1"/>
  <c r="D51" i="1"/>
  <c r="C51" i="1"/>
  <c r="F7" i="2"/>
  <c r="I37" i="1"/>
  <c r="H37" i="1"/>
  <c r="G37" i="1"/>
  <c r="F37" i="1"/>
  <c r="E39" i="1"/>
  <c r="F39" i="1" s="1"/>
  <c r="G39" i="1" s="1"/>
  <c r="H39" i="1" s="1"/>
  <c r="I39" i="1" s="1"/>
  <c r="E37" i="1"/>
  <c r="E30" i="1"/>
  <c r="D27" i="1"/>
  <c r="D30" i="1" s="1"/>
  <c r="I26" i="1"/>
  <c r="J30" i="1" s="1"/>
  <c r="F14" i="1"/>
  <c r="F9" i="1"/>
  <c r="D13" i="1"/>
  <c r="D8" i="1"/>
  <c r="H19" i="4" l="1"/>
  <c r="H16" i="4"/>
  <c r="H18" i="4"/>
  <c r="H17" i="4"/>
  <c r="H53" i="1"/>
  <c r="I27" i="1"/>
  <c r="I30" i="1" s="1"/>
  <c r="D9" i="1"/>
  <c r="D14" i="1"/>
</calcChain>
</file>

<file path=xl/sharedStrings.xml><?xml version="1.0" encoding="utf-8"?>
<sst xmlns="http://schemas.openxmlformats.org/spreadsheetml/2006/main" count="164" uniqueCount="107">
  <si>
    <t>M =</t>
  </si>
  <si>
    <t>Montante</t>
  </si>
  <si>
    <t xml:space="preserve">C = </t>
  </si>
  <si>
    <t>Capitale</t>
  </si>
  <si>
    <t xml:space="preserve">I = </t>
  </si>
  <si>
    <t>Interessi</t>
  </si>
  <si>
    <t xml:space="preserve">r = </t>
  </si>
  <si>
    <t>t =</t>
  </si>
  <si>
    <t>M=C(1+rt)</t>
  </si>
  <si>
    <t>Capitalizzazione Semplice</t>
  </si>
  <si>
    <t>Capitalizzazione Composta</t>
  </si>
  <si>
    <t>M=C(1+r)^t</t>
  </si>
  <si>
    <t xml:space="preserve">t = </t>
  </si>
  <si>
    <t>Lez 4; Slide 19</t>
  </si>
  <si>
    <t>Investimento</t>
  </si>
  <si>
    <t>r =</t>
  </si>
  <si>
    <t>Inter. Sempl.</t>
  </si>
  <si>
    <t>Inter. Comp.</t>
  </si>
  <si>
    <t>Prestiamo € 150 mila, ricevendo in un’unica soluzione, dopo 5 anni, il capitale e gli interessi maturati. 
Conviene ottenere l’interesse semplice del 6% o l’interesse composto del 5,25%?</t>
  </si>
  <si>
    <t>Determiniamo il Valore attuale di 45.000 € esigibili fra 4 anni al tasso del 5,5 %</t>
  </si>
  <si>
    <t>C =</t>
  </si>
  <si>
    <t>Lez. 4 Slide 21</t>
  </si>
  <si>
    <t>Valore Attuale</t>
  </si>
  <si>
    <t>Decidiamo di versare all’inizio di ogni anno e per 5 anni in un conto di risparmio 2.500 €.
 Il conto garantisce un interesse all’anno del 7,5 %. 
Al termine del 5° anno potremo ritirare il montante. Quanto potremo prelevare?</t>
  </si>
  <si>
    <t>Inv. Annuo</t>
  </si>
  <si>
    <t>Importo Prelevabile</t>
  </si>
  <si>
    <t>Lez 4; Slide __</t>
  </si>
  <si>
    <t>Montante =</t>
  </si>
  <si>
    <t>es1</t>
  </si>
  <si>
    <t>es2</t>
  </si>
  <si>
    <t>TEMPO</t>
  </si>
  <si>
    <t>RENDIMENTO</t>
  </si>
  <si>
    <t>Investiamo € 500.000 per 4 anni al tasso del 10%. Determinare l’alternativa più conveniente tra capitalizzazione  semplice e composta.</t>
  </si>
  <si>
    <r>
      <rPr>
        <sz val="12"/>
        <color theme="1"/>
        <rFont val="Calibri (Corpo)_x0000_"/>
      </rPr>
      <t>š</t>
    </r>
    <r>
      <rPr>
        <sz val="12"/>
        <color theme="1"/>
        <rFont val="Calibri"/>
        <family val="2"/>
        <scheme val="minor"/>
      </rPr>
      <t xml:space="preserve"> figurato 5 al tasso del 7,5%</t>
    </r>
  </si>
  <si>
    <t>Determinare il Montante alla fine dell’anno 4 della seguente serie di versamenti 
( r = 6,5%):</t>
  </si>
  <si>
    <t>Inv. Annuo: Variabile</t>
  </si>
  <si>
    <t>r annuo</t>
  </si>
  <si>
    <t>Determinare il tasso infrannuale equivalente al tasso r annuo
(provare con diversi periodi e virificare con le tavole).</t>
  </si>
  <si>
    <t>Semestre 
(m=2)</t>
  </si>
  <si>
    <t>Quadrim
(m=3)</t>
  </si>
  <si>
    <t>Trimestre
(m=4)</t>
  </si>
  <si>
    <t>Bimestre
(m=6)</t>
  </si>
  <si>
    <t>Mensile
(m=12)</t>
  </si>
  <si>
    <t>Determinare il tasso annuo equivalente al tasso r infrannuale
(provare con diversi periodi e virificare con le tavole).</t>
  </si>
  <si>
    <t>r infrannuale</t>
  </si>
  <si>
    <t>r annuo equivalete</t>
  </si>
  <si>
    <t>oggi</t>
  </si>
  <si>
    <t>Flussi di cassa</t>
  </si>
  <si>
    <t>Una obbligazione Zero Cupon ha un valore nominale di 5.000 €
Il tasso di emissione è pari al3,65% e scade tra 3 anni.
A quanto può essere venduta oggi ? E il prossimo anno ?</t>
  </si>
  <si>
    <t>Valori</t>
  </si>
  <si>
    <t>Una obbligazione ha un valore nominale di 5.000 € e paga una cedola annuale di 300 € e scade tra 4 anni
A quanto può essere venduta oggi ? E tra due anni ?</t>
  </si>
  <si>
    <t>Se vendo oggi dopo aver incassato la cedola</t>
  </si>
  <si>
    <t>Se vendo oggi prima di incassare la cedola</t>
  </si>
  <si>
    <t>Se vendo tra due anni prima di incassare la cedola</t>
  </si>
  <si>
    <t>Se vendo tra due anni dopo aver incassato la cedola</t>
  </si>
  <si>
    <t>Valore Oggi</t>
  </si>
  <si>
    <t>Prezzo Oggi</t>
  </si>
  <si>
    <t>Prezzo tra sei anni</t>
  </si>
  <si>
    <t>Una obbligazione Perpetua Paga una cedola annua di 750 € pari a un interesse annuo del 5,75 % 
A quanto può essere venduta oggi ? E fra sei anni  ?</t>
  </si>
  <si>
    <t>Azioni in circolazione</t>
  </si>
  <si>
    <t>Dividendo</t>
  </si>
  <si>
    <t>EPS</t>
  </si>
  <si>
    <r>
      <t>Prezzo Azione (P</t>
    </r>
    <r>
      <rPr>
        <sz val="9"/>
        <color theme="1"/>
        <rFont val="Calibri (Corpo)_x0000_"/>
      </rPr>
      <t>0</t>
    </r>
    <r>
      <rPr>
        <sz val="12"/>
        <color theme="1"/>
        <rFont val="Calibri"/>
        <family val="2"/>
        <scheme val="minor"/>
      </rPr>
      <t>)</t>
    </r>
  </si>
  <si>
    <t>Dividendo in t1</t>
  </si>
  <si>
    <t>"g"</t>
  </si>
  <si>
    <t xml:space="preserve">r =. </t>
  </si>
  <si>
    <t xml:space="preserve"> P0=</t>
  </si>
  <si>
    <t>"g 1"</t>
  </si>
  <si>
    <t>"g 2"</t>
  </si>
  <si>
    <t>P 0 =</t>
  </si>
  <si>
    <t>Flussi</t>
  </si>
  <si>
    <t>TIR =</t>
  </si>
  <si>
    <t xml:space="preserve">VAN = </t>
  </si>
  <si>
    <t>VAN =</t>
  </si>
  <si>
    <t xml:space="preserve">Costo del Capitale = </t>
  </si>
  <si>
    <t>12.5%</t>
  </si>
  <si>
    <t>Provare con</t>
  </si>
  <si>
    <t xml:space="preserve">TIR Multipli </t>
  </si>
  <si>
    <t>CAPITALE</t>
  </si>
  <si>
    <r>
      <t xml:space="preserve">La società MTGZ S.p.A. ha in circolazione 2.000.000 di azioni e si è sempre comportata da </t>
    </r>
    <r>
      <rPr>
        <i/>
        <sz val="11"/>
        <color theme="1"/>
        <rFont val="Calibri"/>
        <family val="2"/>
        <scheme val="minor"/>
      </rPr>
      <t xml:space="preserve">Cash Cow, </t>
    </r>
    <r>
      <rPr>
        <sz val="11"/>
        <color theme="1"/>
        <rFont val="Calibri"/>
        <family val="2"/>
        <scheme val="minor"/>
      </rPr>
      <t>distribuendo ogni anno per intero i 13 milioni di € di utili ai propri azionisti. Se il tasso di mercato è del 7,5%, quanto vale un’azione della società ?</t>
    </r>
  </si>
  <si>
    <t>La WTF S.p.A. pagherà tra un anno un dividendo di 5,5 € per azione. Gli analisti stimano che il dividendo crescerà a partire dal secondo anno e indefinitamente nella misura del 6 %. Quanto vale oggi un’azione Katerpillar se il tasso soddisfacente è del 9 %?</t>
  </si>
  <si>
    <t>Per Vogon S.p.A. gli analisti stimano invece che l’attuale dividendo di 6,2 crescerà a partire dal secondo anno nella misura del 9 %, ma per soli 3 anni, mentre a partire dal quarto anno in poi la crescita sarà costante ma solo nella misura del 5%. Quanto vale oggi un’azione Luxottica se il tasso soddisfacente è del 13 %?</t>
  </si>
  <si>
    <t>Esercizio 2</t>
  </si>
  <si>
    <t>N azioni</t>
  </si>
  <si>
    <t>Utili</t>
  </si>
  <si>
    <t>Anno</t>
  </si>
  <si>
    <t>Val 1 Azione Senza Invest.to</t>
  </si>
  <si>
    <t>Val 1 Azione Con Invest.to</t>
  </si>
  <si>
    <t>Rend.to</t>
  </si>
  <si>
    <t>a partire da</t>
  </si>
  <si>
    <t>Tasso</t>
  </si>
  <si>
    <t>Se l'inv.to non viene effettuato</t>
  </si>
  <si>
    <t>Valore</t>
  </si>
  <si>
    <t>Società</t>
  </si>
  <si>
    <t>Se l'inv.to viene effettuato</t>
  </si>
  <si>
    <t>VANOC</t>
  </si>
  <si>
    <t>T</t>
  </si>
  <si>
    <t>Fatt.att.</t>
  </si>
  <si>
    <t>VA 0</t>
  </si>
  <si>
    <t>v</t>
  </si>
  <si>
    <t>Valore con Investimento</t>
  </si>
  <si>
    <t>2 metodo</t>
  </si>
  <si>
    <t>Inv.to</t>
  </si>
  <si>
    <t>Va 0</t>
  </si>
  <si>
    <t>Valore Con Investimento</t>
  </si>
  <si>
    <t>La Zulu&amp;Charlie ltd è una cash cao che ha sempre distribuito i propri utili per intero. Ha un capitale sociale composto da 3.500.000 azioni e negli ultimi anni ha distribuito ai propri soci 6.800.000 €
Il Management sta programmando un nuovo investimento per la riconversione della centrale termica con una tecnologia meno impattante. Linvestimento prevede Impieghi crescenti nei prossimi 4 anni, entrerà a regime due anni dopo la coclusione dei lavori e consentirà un incremento degli utili pari al 16%.
Le uscite previste sono pari a:
anno 1: € 450.000
anno 2: € 450.000
anno 3: € 580.000
anno 4: € 580.000
Determinare il valore dell'azione prima e dopo l'annuncio dell'investimento, Sapendo che il Costo Opportunità del Capitale per investimenti simili è pari al 8,70%</t>
  </si>
  <si>
    <t>Con 4.000 € potete acquistare un dispositivo per una certa macchina.  L’investimento genererà un flusso di cassa di 2.000 all’anno 1 e 3.000 € all’anno 2. Qual è il tasso interno di rendimento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</si>
</sst>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0.000000%"/>
    <numFmt numFmtId="167" formatCode="_-* #,##0\ _€_-;\-* #,##0\ _€_-;_-* &quot;-&quot;??\ _€_-;_-@_-"/>
    <numFmt numFmtId="168" formatCode="0.0000%"/>
    <numFmt numFmtId="169" formatCode="&quot;€&quot;\ #,##0.00;[Red]\-&quot;€&quot;\ #,##0.00"/>
    <numFmt numFmtId="170" formatCode="&quot;€&quot;\ #,##0.00"/>
    <numFmt numFmtId="171" formatCode="#,##0.00\ &quot;€&quot;"/>
    <numFmt numFmtId="172" formatCode="#,##0.000000"/>
    <numFmt numFmtId="173" formatCode="0.000000"/>
  </numFmts>
  <fonts count="1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D0D0D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Calibri (Corpo)_x0000_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 (Corpo)_x0000_"/>
    </font>
    <font>
      <i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2">
    <xf numFmtId="0" fontId="0" fillId="0" borderId="0" xfId="0"/>
    <xf numFmtId="44" fontId="0" fillId="0" borderId="1" xfId="1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4" fontId="2" fillId="2" borderId="1" xfId="0" applyNumberFormat="1" applyFont="1" applyFill="1" applyBorder="1"/>
    <xf numFmtId="0" fontId="2" fillId="0" borderId="4" xfId="0" applyFont="1" applyBorder="1" applyAlignment="1">
      <alignment horizontal="center"/>
    </xf>
    <xf numFmtId="44" fontId="2" fillId="3" borderId="1" xfId="0" applyNumberFormat="1" applyFont="1" applyFill="1" applyBorder="1"/>
    <xf numFmtId="44" fontId="0" fillId="0" borderId="4" xfId="1" applyFont="1" applyBorder="1"/>
    <xf numFmtId="9" fontId="0" fillId="0" borderId="4" xfId="2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4" fontId="0" fillId="0" borderId="0" xfId="1" applyFont="1" applyBorder="1" applyAlignment="1">
      <alignment horizontal="center"/>
    </xf>
    <xf numFmtId="165" fontId="0" fillId="0" borderId="0" xfId="2" applyNumberFormat="1" applyFont="1" applyBorder="1" applyAlignment="1">
      <alignment horizontal="center"/>
    </xf>
    <xf numFmtId="44" fontId="0" fillId="0" borderId="8" xfId="1" applyFont="1" applyBorder="1" applyAlignment="1">
      <alignment horizontal="center"/>
    </xf>
    <xf numFmtId="44" fontId="0" fillId="0" borderId="8" xfId="1" applyFont="1" applyBorder="1" applyAlignment="1"/>
    <xf numFmtId="44" fontId="0" fillId="0" borderId="0" xfId="1" applyFont="1" applyBorder="1" applyAlignment="1"/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0" fontId="2" fillId="0" borderId="4" xfId="2" applyNumberFormat="1" applyFont="1" applyBorder="1" applyAlignment="1">
      <alignment horizontal="center"/>
    </xf>
    <xf numFmtId="0" fontId="0" fillId="4" borderId="0" xfId="0" applyFill="1"/>
    <xf numFmtId="10" fontId="2" fillId="0" borderId="0" xfId="2" applyNumberFormat="1" applyFont="1" applyBorder="1" applyAlignment="1">
      <alignment horizontal="center"/>
    </xf>
    <xf numFmtId="44" fontId="2" fillId="0" borderId="1" xfId="1" applyFont="1" applyBorder="1"/>
    <xf numFmtId="0" fontId="0" fillId="0" borderId="0" xfId="0" applyFont="1"/>
    <xf numFmtId="0" fontId="0" fillId="0" borderId="0" xfId="0" applyFont="1" applyBorder="1" applyAlignment="1">
      <alignment horizontal="center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/>
    </xf>
    <xf numFmtId="44" fontId="0" fillId="0" borderId="1" xfId="0" applyNumberFormat="1" applyFont="1" applyBorder="1"/>
    <xf numFmtId="0" fontId="0" fillId="0" borderId="2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/>
    <xf numFmtId="0" fontId="0" fillId="0" borderId="3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4" borderId="0" xfId="0" applyFont="1" applyFill="1"/>
    <xf numFmtId="0" fontId="0" fillId="4" borderId="0" xfId="0" applyFont="1" applyFill="1" applyAlignment="1">
      <alignment horizontal="center" wrapText="1"/>
    </xf>
    <xf numFmtId="0" fontId="2" fillId="2" borderId="0" xfId="0" applyFont="1" applyFill="1" applyAlignment="1"/>
    <xf numFmtId="0" fontId="2" fillId="2" borderId="0" xfId="0" applyFont="1" applyFill="1" applyAlignment="1">
      <alignment horizontal="center" wrapText="1"/>
    </xf>
    <xf numFmtId="0" fontId="3" fillId="0" borderId="5" xfId="0" applyFont="1" applyBorder="1" applyAlignment="1">
      <alignment vertical="center" wrapText="1" readingOrder="1"/>
    </xf>
    <xf numFmtId="0" fontId="3" fillId="0" borderId="0" xfId="0" applyFont="1" applyAlignment="1">
      <alignment vertical="center" wrapText="1" readingOrder="1"/>
    </xf>
    <xf numFmtId="0" fontId="3" fillId="0" borderId="0" xfId="0" applyFont="1" applyBorder="1" applyAlignment="1">
      <alignment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9" xfId="0" applyFont="1" applyBorder="1" applyAlignment="1">
      <alignment vertical="center" wrapText="1" readingOrder="1"/>
    </xf>
    <xf numFmtId="0" fontId="3" fillId="0" borderId="0" xfId="0" applyFont="1" applyAlignment="1">
      <alignment vertical="center" readingOrder="1"/>
    </xf>
    <xf numFmtId="0" fontId="0" fillId="0" borderId="0" xfId="0" applyFont="1" applyBorder="1"/>
    <xf numFmtId="0" fontId="0" fillId="3" borderId="1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" fillId="0" borderId="0" xfId="0" applyFont="1" applyFill="1" applyAlignment="1"/>
    <xf numFmtId="0" fontId="0" fillId="0" borderId="8" xfId="0" applyFont="1" applyBorder="1" applyAlignment="1">
      <alignment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left" vertical="center" readingOrder="1"/>
    </xf>
    <xf numFmtId="0" fontId="0" fillId="0" borderId="3" xfId="0" applyFont="1" applyBorder="1" applyAlignment="1">
      <alignment horizontal="right"/>
    </xf>
    <xf numFmtId="8" fontId="0" fillId="0" borderId="0" xfId="0" applyNumberFormat="1" applyFont="1" applyBorder="1"/>
    <xf numFmtId="8" fontId="0" fillId="0" borderId="9" xfId="0" applyNumberFormat="1" applyFont="1" applyBorder="1"/>
    <xf numFmtId="0" fontId="0" fillId="0" borderId="4" xfId="0" applyFont="1" applyBorder="1" applyAlignment="1">
      <alignment horizontal="center"/>
    </xf>
    <xf numFmtId="8" fontId="0" fillId="0" borderId="11" xfId="0" applyNumberFormat="1" applyFont="1" applyBorder="1"/>
    <xf numFmtId="8" fontId="0" fillId="0" borderId="12" xfId="0" applyNumberFormat="1" applyFont="1" applyBorder="1"/>
    <xf numFmtId="0" fontId="0" fillId="0" borderId="9" xfId="0" applyFont="1" applyBorder="1"/>
    <xf numFmtId="0" fontId="5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8" xfId="0" applyFont="1" applyBorder="1"/>
    <xf numFmtId="0" fontId="0" fillId="3" borderId="3" xfId="0" applyFont="1" applyFill="1" applyBorder="1" applyAlignment="1">
      <alignment horizontal="center"/>
    </xf>
    <xf numFmtId="44" fontId="2" fillId="3" borderId="4" xfId="0" applyNumberFormat="1" applyFont="1" applyFill="1" applyBorder="1"/>
    <xf numFmtId="0" fontId="0" fillId="0" borderId="9" xfId="0" applyFont="1" applyBorder="1" applyAlignment="1"/>
    <xf numFmtId="0" fontId="0" fillId="0" borderId="8" xfId="0" applyFont="1" applyBorder="1" applyAlignment="1"/>
    <xf numFmtId="0" fontId="0" fillId="0" borderId="0" xfId="0" applyFont="1" applyBorder="1" applyAlignment="1"/>
    <xf numFmtId="0" fontId="0" fillId="0" borderId="10" xfId="0" applyFont="1" applyBorder="1" applyAlignment="1"/>
    <xf numFmtId="0" fontId="0" fillId="0" borderId="11" xfId="0" applyFont="1" applyBorder="1" applyAlignment="1"/>
    <xf numFmtId="44" fontId="2" fillId="3" borderId="12" xfId="0" applyNumberFormat="1" applyFont="1" applyFill="1" applyBorder="1" applyAlignment="1"/>
    <xf numFmtId="0" fontId="5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44" fontId="7" fillId="0" borderId="8" xfId="0" applyNumberFormat="1" applyFont="1" applyBorder="1"/>
    <xf numFmtId="44" fontId="0" fillId="0" borderId="0" xfId="0" applyNumberFormat="1"/>
    <xf numFmtId="44" fontId="7" fillId="0" borderId="0" xfId="0" applyNumberFormat="1" applyFont="1"/>
    <xf numFmtId="0" fontId="8" fillId="0" borderId="0" xfId="0" applyFont="1"/>
    <xf numFmtId="0" fontId="8" fillId="0" borderId="9" xfId="0" applyFont="1" applyBorder="1"/>
    <xf numFmtId="0" fontId="8" fillId="0" borderId="8" xfId="0" applyFont="1" applyBorder="1"/>
    <xf numFmtId="44" fontId="8" fillId="0" borderId="8" xfId="0" applyNumberFormat="1" applyFont="1" applyBorder="1"/>
    <xf numFmtId="44" fontId="8" fillId="0" borderId="0" xfId="0" applyNumberFormat="1" applyFont="1"/>
    <xf numFmtId="0" fontId="8" fillId="0" borderId="10" xfId="0" applyFont="1" applyBorder="1"/>
    <xf numFmtId="0" fontId="8" fillId="0" borderId="11" xfId="0" applyFont="1" applyBorder="1"/>
    <xf numFmtId="44" fontId="7" fillId="5" borderId="12" xfId="0" applyNumberFormat="1" applyFont="1" applyFill="1" applyBorder="1"/>
    <xf numFmtId="0" fontId="0" fillId="0" borderId="8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1" xfId="0" applyFont="1" applyBorder="1"/>
    <xf numFmtId="0" fontId="2" fillId="0" borderId="2" xfId="0" applyFont="1" applyBorder="1" applyAlignment="1">
      <alignment horizontal="center"/>
    </xf>
    <xf numFmtId="165" fontId="2" fillId="0" borderId="13" xfId="2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0" xfId="0" applyFont="1" applyAlignment="1">
      <alignment horizontal="center" vertical="center" wrapText="1"/>
    </xf>
    <xf numFmtId="166" fontId="0" fillId="0" borderId="0" xfId="2" applyNumberFormat="1" applyFont="1" applyAlignment="1">
      <alignment horizontal="center"/>
    </xf>
    <xf numFmtId="10" fontId="2" fillId="0" borderId="0" xfId="2" applyNumberFormat="1" applyFont="1" applyAlignment="1">
      <alignment horizontal="center" wrapText="1"/>
    </xf>
    <xf numFmtId="10" fontId="2" fillId="0" borderId="0" xfId="2" applyNumberFormat="1" applyFont="1" applyAlignment="1">
      <alignment horizontal="center"/>
    </xf>
    <xf numFmtId="10" fontId="0" fillId="0" borderId="0" xfId="2" applyNumberFormat="1" applyFont="1" applyAlignment="1">
      <alignment horizontal="center" vertical="center"/>
    </xf>
    <xf numFmtId="44" fontId="0" fillId="0" borderId="0" xfId="1" applyFont="1"/>
    <xf numFmtId="0" fontId="2" fillId="6" borderId="3" xfId="0" applyFont="1" applyFill="1" applyBorder="1" applyAlignment="1">
      <alignment horizontal="center" vertical="center"/>
    </xf>
    <xf numFmtId="10" fontId="2" fillId="6" borderId="4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/>
    <xf numFmtId="44" fontId="0" fillId="6" borderId="0" xfId="0" applyNumberFormat="1" applyFill="1"/>
    <xf numFmtId="0" fontId="0" fillId="4" borderId="0" xfId="0" applyFill="1" applyAlignment="1">
      <alignment horizontal="center"/>
    </xf>
    <xf numFmtId="44" fontId="0" fillId="4" borderId="0" xfId="1" applyFont="1" applyFill="1"/>
    <xf numFmtId="0" fontId="2" fillId="6" borderId="0" xfId="0" applyFont="1" applyFill="1"/>
    <xf numFmtId="44" fontId="2" fillId="0" borderId="0" xfId="1" applyFont="1"/>
    <xf numFmtId="0" fontId="0" fillId="0" borderId="0" xfId="0" applyAlignment="1">
      <alignment horizontal="right"/>
    </xf>
    <xf numFmtId="10" fontId="0" fillId="0" borderId="0" xfId="0" applyNumberFormat="1" applyAlignment="1">
      <alignment horizontal="center"/>
    </xf>
    <xf numFmtId="167" fontId="0" fillId="0" borderId="0" xfId="3" applyNumberFormat="1" applyFont="1" applyAlignment="1">
      <alignment horizontal="center" vertical="center"/>
    </xf>
    <xf numFmtId="44" fontId="0" fillId="0" borderId="0" xfId="1" applyFont="1" applyAlignment="1">
      <alignment vertical="center"/>
    </xf>
    <xf numFmtId="10" fontId="0" fillId="0" borderId="0" xfId="0" applyNumberFormat="1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0" fillId="4" borderId="0" xfId="0" applyFill="1" applyAlignment="1">
      <alignment horizontal="right"/>
    </xf>
    <xf numFmtId="0" fontId="2" fillId="0" borderId="0" xfId="0" applyFont="1" applyAlignment="1">
      <alignment horizontal="right"/>
    </xf>
    <xf numFmtId="44" fontId="2" fillId="0" borderId="0" xfId="0" applyNumberFormat="1" applyFont="1" applyAlignment="1">
      <alignment horizontal="center"/>
    </xf>
    <xf numFmtId="44" fontId="0" fillId="7" borderId="0" xfId="0" applyNumberFormat="1" applyFill="1" applyAlignment="1">
      <alignment horizontal="center"/>
    </xf>
    <xf numFmtId="8" fontId="0" fillId="7" borderId="0" xfId="0" applyNumberFormat="1" applyFill="1" applyAlignment="1">
      <alignment horizontal="center"/>
    </xf>
    <xf numFmtId="8" fontId="0" fillId="0" borderId="0" xfId="0" applyNumberFormat="1" applyFill="1" applyAlignment="1">
      <alignment horizontal="center"/>
    </xf>
    <xf numFmtId="0" fontId="0" fillId="8" borderId="0" xfId="0" applyFill="1"/>
    <xf numFmtId="8" fontId="0" fillId="0" borderId="0" xfId="0" applyNumberFormat="1"/>
    <xf numFmtId="0" fontId="2" fillId="8" borderId="0" xfId="0" applyFont="1" applyFill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9" fontId="2" fillId="2" borderId="1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168" fontId="0" fillId="0" borderId="0" xfId="0" applyNumberFormat="1"/>
    <xf numFmtId="0" fontId="1" fillId="0" borderId="17" xfId="0" applyFont="1" applyBorder="1"/>
    <xf numFmtId="0" fontId="1" fillId="0" borderId="0" xfId="0" applyFont="1"/>
    <xf numFmtId="0" fontId="1" fillId="0" borderId="18" xfId="0" applyFont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3" fontId="1" fillId="0" borderId="21" xfId="0" applyNumberFormat="1" applyFont="1" applyBorder="1" applyAlignment="1">
      <alignment horizontal="center"/>
    </xf>
    <xf numFmtId="169" fontId="1" fillId="9" borderId="1" xfId="0" applyNumberFormat="1" applyFont="1" applyFill="1" applyBorder="1"/>
    <xf numFmtId="3" fontId="1" fillId="0" borderId="22" xfId="0" applyNumberFormat="1" applyFont="1" applyBorder="1" applyAlignment="1">
      <alignment horizontal="center"/>
    </xf>
    <xf numFmtId="4" fontId="2" fillId="10" borderId="7" xfId="0" applyNumberFormat="1" applyFont="1" applyFill="1" applyBorder="1" applyAlignment="1">
      <alignment horizontal="center"/>
    </xf>
    <xf numFmtId="4" fontId="2" fillId="10" borderId="12" xfId="0" applyNumberFormat="1" applyFont="1" applyFill="1" applyBorder="1" applyAlignment="1">
      <alignment horizontal="center"/>
    </xf>
    <xf numFmtId="165" fontId="1" fillId="0" borderId="0" xfId="2" applyNumberFormat="1" applyAlignment="1">
      <alignment horizontal="center"/>
    </xf>
    <xf numFmtId="0" fontId="1" fillId="0" borderId="0" xfId="0" applyFont="1" applyAlignment="1">
      <alignment horizontal="center"/>
    </xf>
    <xf numFmtId="10" fontId="1" fillId="0" borderId="0" xfId="2" applyNumberFormat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3" fontId="1" fillId="0" borderId="26" xfId="0" applyNumberFormat="1" applyFont="1" applyBorder="1" applyAlignment="1">
      <alignment horizontal="center"/>
    </xf>
    <xf numFmtId="170" fontId="1" fillId="0" borderId="1" xfId="0" applyNumberFormat="1" applyFont="1" applyBorder="1" applyAlignment="1">
      <alignment horizontal="right"/>
    </xf>
    <xf numFmtId="0" fontId="1" fillId="0" borderId="28" xfId="0" applyFont="1" applyBorder="1"/>
    <xf numFmtId="0" fontId="1" fillId="0" borderId="29" xfId="0" applyFont="1" applyBorder="1"/>
    <xf numFmtId="43" fontId="2" fillId="3" borderId="4" xfId="0" applyNumberFormat="1" applyFont="1" applyFill="1" applyBorder="1"/>
    <xf numFmtId="0" fontId="2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righ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  <xf numFmtId="171" fontId="1" fillId="0" borderId="0" xfId="0" applyNumberFormat="1" applyFont="1" applyAlignment="1">
      <alignment horizontal="center"/>
    </xf>
    <xf numFmtId="10" fontId="1" fillId="0" borderId="11" xfId="0" applyNumberFormat="1" applyFont="1" applyBorder="1" applyAlignment="1">
      <alignment horizontal="center"/>
    </xf>
    <xf numFmtId="172" fontId="1" fillId="0" borderId="11" xfId="0" applyNumberFormat="1" applyFont="1" applyBorder="1" applyAlignment="1">
      <alignment horizontal="center"/>
    </xf>
    <xf numFmtId="173" fontId="1" fillId="0" borderId="13" xfId="0" applyNumberFormat="1" applyFont="1" applyBorder="1" applyAlignment="1">
      <alignment horizontal="center"/>
    </xf>
    <xf numFmtId="173" fontId="1" fillId="0" borderId="1" xfId="0" applyNumberFormat="1" applyFont="1" applyBorder="1" applyAlignment="1">
      <alignment horizontal="center"/>
    </xf>
    <xf numFmtId="173" fontId="1" fillId="3" borderId="1" xfId="0" applyNumberFormat="1" applyFont="1" applyFill="1" applyBorder="1" applyAlignment="1">
      <alignment horizontal="center"/>
    </xf>
    <xf numFmtId="44" fontId="2" fillId="0" borderId="3" xfId="1" applyFont="1" applyBorder="1" applyAlignment="1"/>
    <xf numFmtId="44" fontId="2" fillId="0" borderId="4" xfId="1" applyFont="1" applyBorder="1" applyAlignment="1"/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44" fontId="2" fillId="3" borderId="9" xfId="1" applyFont="1" applyFill="1" applyBorder="1" applyAlignment="1">
      <alignment horizontal="center" vertical="center"/>
    </xf>
    <xf numFmtId="44" fontId="2" fillId="3" borderId="12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3" fillId="12" borderId="17" xfId="0" applyFont="1" applyFill="1" applyBorder="1" applyAlignment="1">
      <alignment horizontal="center"/>
    </xf>
    <xf numFmtId="0" fontId="13" fillId="12" borderId="0" xfId="0" applyFont="1" applyFill="1" applyAlignment="1">
      <alignment horizontal="center"/>
    </xf>
    <xf numFmtId="0" fontId="13" fillId="12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right"/>
    </xf>
    <xf numFmtId="0" fontId="2" fillId="3" borderId="27" xfId="0" applyFont="1" applyFill="1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1" fillId="10" borderId="10" xfId="0" applyFont="1" applyFill="1" applyBorder="1" applyAlignment="1">
      <alignment horizontal="center"/>
    </xf>
    <xf numFmtId="0" fontId="1" fillId="10" borderId="11" xfId="0" applyFont="1" applyFill="1" applyBorder="1" applyAlignment="1">
      <alignment horizontal="center"/>
    </xf>
    <xf numFmtId="0" fontId="1" fillId="11" borderId="17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1" fillId="11" borderId="18" xfId="0" applyFont="1" applyFill="1" applyBorder="1" applyAlignment="1">
      <alignment horizontal="center"/>
    </xf>
    <xf numFmtId="40" fontId="2" fillId="0" borderId="0" xfId="3" applyNumberFormat="1" applyFont="1" applyAlignment="1">
      <alignment horizontal="center"/>
    </xf>
    <xf numFmtId="0" fontId="9" fillId="0" borderId="0" xfId="0" applyFont="1" applyAlignment="1">
      <alignment horizontal="center" vertical="center" wrapText="1" readingOrder="1"/>
    </xf>
    <xf numFmtId="0" fontId="2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8" fontId="0" fillId="0" borderId="0" xfId="0" applyNumberFormat="1" applyFont="1"/>
    <xf numFmtId="8" fontId="0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center" wrapText="1" readingOrder="1"/>
    </xf>
  </cellXfs>
  <cellStyles count="4">
    <cellStyle name="Migliaia" xfId="3" builtinId="3"/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139701</xdr:colOff>
      <xdr:row>46</xdr:row>
      <xdr:rowOff>30976</xdr:rowOff>
    </xdr:from>
    <xdr:to>
      <xdr:col>10</xdr:col>
      <xdr:colOff>154878</xdr:colOff>
      <xdr:row>52</xdr:row>
      <xdr:rowOff>132574</xdr:rowOff>
    </xdr:to>
    <xdr:cxnSp macro="">
      <xdr:nvCxnSpPr>
        <xdr:cNvPr id="3" name="Connettore 2 2">
          <a:extLst>
            <a:ext uri="{FF2B5EF4-FFF2-40B4-BE49-F238E27FC236}">
              <a16:creationId xmlns:a16="http://schemas.microsoft.com/office/drawing/2014/main" id="{08E504B3-B366-D247-BE7F-9C9D8880DACD}"/>
            </a:ext>
          </a:extLst>
        </xdr:cNvPr>
        <xdr:cNvCxnSpPr/>
      </xdr:nvCxnSpPr>
      <xdr:spPr>
        <a:xfrm flipH="1">
          <a:off x="10222262" y="11522927"/>
          <a:ext cx="2338348" cy="1356110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55621</xdr:colOff>
      <xdr:row>4</xdr:row>
      <xdr:rowOff>0</xdr:rowOff>
    </xdr:from>
    <xdr:to>
      <xdr:col>7</xdr:col>
      <xdr:colOff>797226</xdr:colOff>
      <xdr:row>7</xdr:row>
      <xdr:rowOff>55621</xdr:rowOff>
    </xdr:to>
    <xdr:cxnSp macro="">
      <xdr:nvCxnSpPr>
        <xdr:cNvPr id="3" name="Connettore 2 2">
          <a:extLst>
            <a:ext uri="{FF2B5EF4-FFF2-40B4-BE49-F238E27FC236}">
              <a16:creationId xmlns:a16="http://schemas.microsoft.com/office/drawing/2014/main" id="{9F6B9840-0704-5048-BC64-0EBC91FC5984}"/>
            </a:ext>
          </a:extLst>
        </xdr:cNvPr>
        <xdr:cNvCxnSpPr/>
      </xdr:nvCxnSpPr>
      <xdr:spPr>
        <a:xfrm flipH="1">
          <a:off x="5450803" y="843577"/>
          <a:ext cx="1566642" cy="667445"/>
        </a:xfrm>
        <a:prstGeom prst="straightConnector1">
          <a:avLst/>
        </a:prstGeom>
        <a:ln>
          <a:headEnd type="none"/>
          <a:tailEnd type="stealth" w="lg" len="lg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CDF02-7F5C-A140-A870-A6F5113E9751}">
  <dimension ref="A1:S73"/>
  <sheetViews>
    <sheetView topLeftCell="A32" zoomScale="67" workbookViewId="0">
      <selection activeCell="F39" sqref="F39"/>
    </sheetView>
  </sheetViews>
  <sheetFormatPr baseColWidth="10" defaultRowHeight="16"/>
  <cols>
    <col min="1" max="1" width="4.33203125" style="22" customWidth="1"/>
    <col min="2" max="2" width="75" style="22" customWidth="1"/>
    <col min="3" max="3" width="14.33203125" style="32" bestFit="1" customWidth="1"/>
    <col min="4" max="6" width="13.33203125" style="22" bestFit="1" customWidth="1"/>
    <col min="7" max="7" width="11.1640625" style="22" bestFit="1" customWidth="1"/>
    <col min="8" max="8" width="14.6640625" style="22" bestFit="1" customWidth="1"/>
    <col min="9" max="9" width="13.33203125" style="22" bestFit="1" customWidth="1"/>
    <col min="10" max="10" width="17" style="22" customWidth="1"/>
    <col min="11" max="11" width="17.1640625" style="22" customWidth="1"/>
    <col min="12" max="12" width="5.33203125" style="22" customWidth="1"/>
    <col min="13" max="13" width="13" style="22" bestFit="1" customWidth="1"/>
    <col min="14" max="16384" width="10.83203125" style="22"/>
  </cols>
  <sheetData>
    <row r="1" spans="1:7">
      <c r="A1" s="22" t="s">
        <v>28</v>
      </c>
    </row>
    <row r="2" spans="1:7" ht="17">
      <c r="B2" s="22" t="s">
        <v>30</v>
      </c>
      <c r="C2" s="30" t="s">
        <v>12</v>
      </c>
      <c r="D2" s="5">
        <v>4</v>
      </c>
    </row>
    <row r="3" spans="1:7" ht="17">
      <c r="B3" s="22" t="s">
        <v>31</v>
      </c>
      <c r="C3" s="30" t="s">
        <v>6</v>
      </c>
      <c r="D3" s="18">
        <v>0.05</v>
      </c>
    </row>
    <row r="4" spans="1:7">
      <c r="B4" s="22" t="s">
        <v>78</v>
      </c>
      <c r="C4" s="165">
        <v>1000</v>
      </c>
      <c r="D4" s="166"/>
      <c r="F4" s="23"/>
      <c r="G4" s="20"/>
    </row>
    <row r="5" spans="1:7">
      <c r="F5" s="23"/>
      <c r="G5" s="20"/>
    </row>
    <row r="6" spans="1:7" ht="34">
      <c r="B6" s="24"/>
      <c r="C6" s="33" t="s">
        <v>9</v>
      </c>
      <c r="D6" s="24"/>
    </row>
    <row r="7" spans="1:7" ht="17">
      <c r="B7" s="25" t="s">
        <v>3</v>
      </c>
      <c r="C7" s="33" t="s">
        <v>2</v>
      </c>
      <c r="D7" s="21">
        <v>1000</v>
      </c>
    </row>
    <row r="8" spans="1:7" ht="17">
      <c r="B8" s="25" t="s">
        <v>5</v>
      </c>
      <c r="C8" s="33" t="s">
        <v>4</v>
      </c>
      <c r="D8" s="26">
        <f>D3*D7*D2</f>
        <v>200</v>
      </c>
      <c r="F8" s="27" t="s">
        <v>8</v>
      </c>
    </row>
    <row r="9" spans="1:7" ht="17">
      <c r="B9" s="28" t="s">
        <v>1</v>
      </c>
      <c r="C9" s="34" t="s">
        <v>0</v>
      </c>
      <c r="D9" s="29">
        <f>D7+D8</f>
        <v>1200</v>
      </c>
      <c r="F9" s="29">
        <f>D7*(1+D3*D2)</f>
        <v>1200</v>
      </c>
    </row>
    <row r="11" spans="1:7" ht="34">
      <c r="B11" s="24"/>
      <c r="C11" s="33" t="s">
        <v>10</v>
      </c>
      <c r="D11" s="24"/>
    </row>
    <row r="12" spans="1:7" ht="17">
      <c r="B12" s="25" t="s">
        <v>3</v>
      </c>
      <c r="C12" s="33" t="s">
        <v>2</v>
      </c>
      <c r="D12" s="21">
        <v>1000</v>
      </c>
    </row>
    <row r="13" spans="1:7" ht="17">
      <c r="B13" s="25" t="s">
        <v>5</v>
      </c>
      <c r="C13" s="33" t="s">
        <v>4</v>
      </c>
      <c r="D13" s="26">
        <f>D12*(1+D3)^D2-D12</f>
        <v>215.50624999999991</v>
      </c>
      <c r="F13" s="27" t="s">
        <v>11</v>
      </c>
    </row>
    <row r="14" spans="1:7" ht="17">
      <c r="B14" s="28" t="s">
        <v>1</v>
      </c>
      <c r="C14" s="34" t="s">
        <v>0</v>
      </c>
      <c r="D14" s="29">
        <f>D12+D13</f>
        <v>1215.5062499999999</v>
      </c>
      <c r="F14" s="29">
        <f>D12*(1+D3)^D2</f>
        <v>1215.5062499999999</v>
      </c>
    </row>
    <row r="19" spans="1:19">
      <c r="A19" s="36"/>
      <c r="B19" s="36"/>
      <c r="C19" s="37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1" spans="1:19">
      <c r="A21" s="22" t="s">
        <v>29</v>
      </c>
    </row>
    <row r="22" spans="1:19" ht="18" customHeight="1">
      <c r="B22" s="39" t="s">
        <v>13</v>
      </c>
    </row>
    <row r="23" spans="1:19" ht="51">
      <c r="B23" s="40" t="s">
        <v>18</v>
      </c>
      <c r="L23" s="41"/>
    </row>
    <row r="24" spans="1:19" ht="16" customHeight="1">
      <c r="B24" s="42"/>
      <c r="C24" s="43"/>
      <c r="D24" s="42"/>
      <c r="E24" s="42"/>
      <c r="F24" s="42"/>
      <c r="G24" s="42"/>
      <c r="H24" s="42"/>
      <c r="I24" s="42"/>
      <c r="J24" s="42"/>
      <c r="K24" s="44"/>
      <c r="L24" s="41"/>
      <c r="R24" s="45"/>
      <c r="S24" s="45"/>
    </row>
    <row r="25" spans="1:19" ht="33" customHeight="1">
      <c r="B25" s="24"/>
      <c r="C25" s="167" t="s">
        <v>9</v>
      </c>
      <c r="D25" s="168"/>
      <c r="E25" s="46"/>
      <c r="F25" s="46"/>
      <c r="G25" s="24"/>
      <c r="H25" s="169" t="s">
        <v>10</v>
      </c>
      <c r="I25" s="170"/>
      <c r="R25" s="45"/>
      <c r="S25" s="45"/>
    </row>
    <row r="26" spans="1:19" ht="17">
      <c r="B26" s="25" t="s">
        <v>3</v>
      </c>
      <c r="C26" s="33" t="s">
        <v>2</v>
      </c>
      <c r="D26" s="1">
        <v>150000</v>
      </c>
      <c r="E26" s="46"/>
      <c r="F26" s="46"/>
      <c r="G26" s="25" t="s">
        <v>3</v>
      </c>
      <c r="H26" s="25" t="s">
        <v>2</v>
      </c>
      <c r="I26" s="1">
        <f>D26</f>
        <v>150000</v>
      </c>
    </row>
    <row r="27" spans="1:19" ht="17">
      <c r="B27" s="47" t="s">
        <v>5</v>
      </c>
      <c r="C27" s="33" t="s">
        <v>4</v>
      </c>
      <c r="D27" s="6">
        <f>B28*D26*B29</f>
        <v>45000</v>
      </c>
      <c r="E27" s="46"/>
      <c r="F27" s="46"/>
      <c r="G27" s="47" t="s">
        <v>5</v>
      </c>
      <c r="H27" s="25" t="s">
        <v>4</v>
      </c>
      <c r="I27" s="6">
        <f>I26*(1+G29)^G28-I26</f>
        <v>43732.187198745087</v>
      </c>
    </row>
    <row r="28" spans="1:19" ht="17">
      <c r="B28" s="5">
        <v>5</v>
      </c>
      <c r="C28" s="30" t="s">
        <v>12</v>
      </c>
      <c r="D28" s="26"/>
      <c r="E28" s="46"/>
      <c r="F28" s="46"/>
      <c r="G28" s="5">
        <v>5</v>
      </c>
      <c r="H28" s="48" t="s">
        <v>12</v>
      </c>
      <c r="I28" s="26"/>
      <c r="M28" s="23"/>
    </row>
    <row r="29" spans="1:19" ht="17">
      <c r="B29" s="18">
        <v>0.06</v>
      </c>
      <c r="C29" s="30" t="s">
        <v>6</v>
      </c>
      <c r="D29" s="26"/>
      <c r="E29" s="27" t="s">
        <v>8</v>
      </c>
      <c r="G29" s="18">
        <v>5.2499999999999998E-2</v>
      </c>
      <c r="H29" s="48" t="s">
        <v>6</v>
      </c>
      <c r="I29" s="26"/>
      <c r="J29" s="25" t="s">
        <v>11</v>
      </c>
    </row>
    <row r="30" spans="1:19" ht="17">
      <c r="B30" s="3" t="s">
        <v>1</v>
      </c>
      <c r="C30" s="35" t="s">
        <v>0</v>
      </c>
      <c r="D30" s="4">
        <f>D26+D27</f>
        <v>195000</v>
      </c>
      <c r="E30" s="4">
        <f>D26*(1+B29*B28)</f>
        <v>195000</v>
      </c>
      <c r="G30" s="3" t="s">
        <v>1</v>
      </c>
      <c r="H30" s="2" t="s">
        <v>0</v>
      </c>
      <c r="I30" s="4">
        <f>I26+I27</f>
        <v>193732.18719874509</v>
      </c>
      <c r="J30" s="4">
        <f>I26*(1+G29)^G28</f>
        <v>193732.18719874509</v>
      </c>
    </row>
    <row r="32" spans="1:19">
      <c r="A32" s="36"/>
      <c r="B32" s="36"/>
      <c r="C32" s="37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5" spans="1:14">
      <c r="B35" s="38" t="s">
        <v>13</v>
      </c>
      <c r="C35" s="49"/>
    </row>
    <row r="36" spans="1:14" ht="34">
      <c r="B36" s="40" t="s">
        <v>32</v>
      </c>
      <c r="D36" s="50"/>
      <c r="E36" s="51">
        <v>0</v>
      </c>
      <c r="F36" s="51">
        <v>1</v>
      </c>
      <c r="G36" s="51">
        <v>2</v>
      </c>
      <c r="H36" s="51">
        <v>3</v>
      </c>
      <c r="I36" s="52">
        <v>4</v>
      </c>
      <c r="J36" s="53"/>
      <c r="K36" s="53"/>
      <c r="L36" s="41"/>
      <c r="N36" s="54"/>
    </row>
    <row r="37" spans="1:14">
      <c r="B37" s="55" t="s">
        <v>14</v>
      </c>
      <c r="C37" s="7">
        <v>500000</v>
      </c>
      <c r="D37" s="9" t="s">
        <v>16</v>
      </c>
      <c r="E37" s="56">
        <f>-C37</f>
        <v>-500000</v>
      </c>
      <c r="F37" s="56">
        <f>$C$37*$C$38*F36</f>
        <v>50000</v>
      </c>
      <c r="G37" s="56">
        <f>$C$37*$C$38*F36</f>
        <v>50000</v>
      </c>
      <c r="H37" s="56">
        <f>$C$37*$C$38*F36</f>
        <v>50000</v>
      </c>
      <c r="I37" s="57">
        <f>$C$37*$C$38*F36</f>
        <v>50000</v>
      </c>
      <c r="J37" s="53"/>
      <c r="K37" s="53"/>
      <c r="L37" s="41"/>
      <c r="N37" s="54"/>
    </row>
    <row r="38" spans="1:14">
      <c r="B38" s="55" t="s">
        <v>15</v>
      </c>
      <c r="C38" s="8">
        <v>0.1</v>
      </c>
      <c r="D38" s="9"/>
      <c r="E38" s="56"/>
      <c r="F38" s="56"/>
      <c r="G38" s="56"/>
      <c r="H38" s="56"/>
      <c r="I38" s="57"/>
    </row>
    <row r="39" spans="1:14">
      <c r="B39" s="55" t="s">
        <v>7</v>
      </c>
      <c r="C39" s="58">
        <v>4</v>
      </c>
      <c r="D39" s="10" t="s">
        <v>17</v>
      </c>
      <c r="E39" s="59">
        <f>-C37</f>
        <v>-500000</v>
      </c>
      <c r="F39" s="59">
        <f>C37*(1+$C$38)^F36+$E$39</f>
        <v>50000</v>
      </c>
      <c r="G39" s="59">
        <f>C37+F39*(1+$C$38)^1+$E$39</f>
        <v>55000</v>
      </c>
      <c r="H39" s="59">
        <f>C37+G39*(1+$C$38)^1+$E$39</f>
        <v>60500</v>
      </c>
      <c r="I39" s="60">
        <f>C37+H39*(1+$C$38)^1+$E$39</f>
        <v>66550</v>
      </c>
    </row>
    <row r="40" spans="1:14">
      <c r="F40" s="209"/>
      <c r="G40" s="209"/>
      <c r="H40" s="209"/>
      <c r="I40" s="209"/>
      <c r="K40" s="210"/>
    </row>
    <row r="42" spans="1:14">
      <c r="A42" s="36"/>
      <c r="B42" s="36"/>
      <c r="C42" s="37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4" spans="1:14">
      <c r="B44" s="38" t="s">
        <v>26</v>
      </c>
    </row>
    <row r="45" spans="1:14" ht="68">
      <c r="B45" s="62" t="s">
        <v>23</v>
      </c>
      <c r="C45" s="9" t="s">
        <v>24</v>
      </c>
      <c r="D45" s="16" t="s">
        <v>15</v>
      </c>
      <c r="E45" s="16" t="s">
        <v>7</v>
      </c>
      <c r="F45" s="46"/>
      <c r="G45" s="46"/>
      <c r="H45" s="61"/>
      <c r="J45" s="63" t="s">
        <v>33</v>
      </c>
      <c r="K45" s="64">
        <v>6.2440203399999996</v>
      </c>
    </row>
    <row r="46" spans="1:14">
      <c r="C46" s="13">
        <v>2500</v>
      </c>
      <c r="D46" s="12">
        <v>7.4999999999999997E-2</v>
      </c>
      <c r="E46" s="23">
        <v>5</v>
      </c>
      <c r="F46" s="46"/>
      <c r="G46" s="46"/>
      <c r="H46" s="61"/>
      <c r="J46" s="66" t="s">
        <v>27</v>
      </c>
      <c r="K46" s="67">
        <f>C46*K45</f>
        <v>15610.05085</v>
      </c>
    </row>
    <row r="47" spans="1:14" ht="16" customHeight="1">
      <c r="C47" s="65"/>
      <c r="D47" s="46"/>
      <c r="E47" s="46"/>
      <c r="F47" s="46"/>
      <c r="G47" s="46"/>
      <c r="H47" s="61"/>
    </row>
    <row r="48" spans="1:14" ht="16" customHeight="1">
      <c r="C48" s="9">
        <v>0</v>
      </c>
      <c r="D48" s="16">
        <v>1</v>
      </c>
      <c r="E48" s="16">
        <v>2</v>
      </c>
      <c r="F48" s="16">
        <v>3</v>
      </c>
      <c r="G48" s="16">
        <v>4</v>
      </c>
      <c r="H48" s="17">
        <v>5</v>
      </c>
    </row>
    <row r="49" spans="1:14" ht="16" customHeight="1">
      <c r="C49" s="14">
        <v>2500</v>
      </c>
      <c r="D49" s="15">
        <v>2500</v>
      </c>
      <c r="E49" s="15">
        <v>2500</v>
      </c>
      <c r="F49" s="15">
        <v>2500</v>
      </c>
      <c r="G49" s="15">
        <v>2500</v>
      </c>
      <c r="H49" s="68"/>
    </row>
    <row r="50" spans="1:14">
      <c r="C50" s="69"/>
      <c r="D50" s="70"/>
      <c r="E50" s="70"/>
      <c r="F50" s="70"/>
      <c r="G50" s="70"/>
      <c r="H50" s="68"/>
    </row>
    <row r="51" spans="1:14">
      <c r="C51" s="14">
        <f>C49*(1+$D$46)^H48</f>
        <v>3589.0733154296872</v>
      </c>
      <c r="D51" s="15">
        <f>D49*(1+$D$46)^G48</f>
        <v>3338.6728515624995</v>
      </c>
      <c r="E51" s="15">
        <f>E49*(1+$D$46)^F48</f>
        <v>3105.7421874999995</v>
      </c>
      <c r="F51" s="15">
        <f>F49*(1+$D$46)^E48</f>
        <v>2889.0624999999995</v>
      </c>
      <c r="G51" s="15">
        <f>G49*(1+$D$46)^D48</f>
        <v>2687.5</v>
      </c>
      <c r="H51" s="68"/>
    </row>
    <row r="52" spans="1:14">
      <c r="C52" s="69"/>
      <c r="D52" s="70"/>
      <c r="E52" s="70"/>
      <c r="F52" s="70"/>
      <c r="G52" s="70"/>
      <c r="H52" s="68"/>
    </row>
    <row r="53" spans="1:14">
      <c r="C53" s="71"/>
      <c r="D53" s="72"/>
      <c r="E53" s="72"/>
      <c r="F53" s="172" t="s">
        <v>25</v>
      </c>
      <c r="G53" s="172"/>
      <c r="H53" s="73">
        <f>SUM(C51:G51)</f>
        <v>15610.050854492187</v>
      </c>
    </row>
    <row r="56" spans="1:14">
      <c r="A56" s="36"/>
      <c r="B56" s="36"/>
      <c r="C56" s="37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9" spans="1:14">
      <c r="B59" s="173" t="s">
        <v>26</v>
      </c>
      <c r="C59" s="173"/>
    </row>
    <row r="60" spans="1:14" s="75" customFormat="1" ht="38" customHeight="1">
      <c r="B60" s="74" t="s">
        <v>34</v>
      </c>
      <c r="C60" s="76">
        <v>0</v>
      </c>
      <c r="D60" s="78">
        <v>1</v>
      </c>
      <c r="E60" s="78">
        <v>2</v>
      </c>
      <c r="F60" s="78">
        <v>3</v>
      </c>
      <c r="G60" s="78">
        <v>4</v>
      </c>
      <c r="H60" s="79">
        <v>5</v>
      </c>
    </row>
    <row r="61" spans="1:14">
      <c r="B61" s="9" t="s">
        <v>35</v>
      </c>
      <c r="C61" s="80">
        <v>1200</v>
      </c>
      <c r="D61" s="82">
        <v>1200</v>
      </c>
      <c r="E61" s="82">
        <v>1200</v>
      </c>
      <c r="F61" s="82">
        <v>1600</v>
      </c>
      <c r="G61" s="82">
        <v>1680</v>
      </c>
      <c r="H61" s="84"/>
    </row>
    <row r="62" spans="1:14">
      <c r="B62" s="95" t="s">
        <v>15</v>
      </c>
      <c r="C62" s="85"/>
      <c r="D62" s="83"/>
      <c r="E62" s="83"/>
      <c r="F62" s="83"/>
      <c r="G62" s="83"/>
      <c r="H62" s="84"/>
    </row>
    <row r="63" spans="1:14">
      <c r="B63" s="96">
        <v>6.5000000000000002E-2</v>
      </c>
      <c r="C63" s="86">
        <v>1722.76</v>
      </c>
      <c r="D63" s="87">
        <v>1602.56</v>
      </c>
      <c r="E63" s="87">
        <v>1490.76</v>
      </c>
      <c r="F63" s="87">
        <v>1849</v>
      </c>
      <c r="G63" s="87">
        <v>1806</v>
      </c>
      <c r="H63" s="84"/>
    </row>
    <row r="64" spans="1:14">
      <c r="B64" s="95" t="s">
        <v>7</v>
      </c>
      <c r="C64" s="85"/>
      <c r="D64" s="83"/>
      <c r="E64" s="83"/>
      <c r="F64" s="83"/>
      <c r="G64" s="83"/>
      <c r="H64" s="84"/>
    </row>
    <row r="65" spans="2:8">
      <c r="B65" s="97">
        <v>4</v>
      </c>
      <c r="C65" s="88"/>
      <c r="D65" s="89"/>
      <c r="E65" s="89"/>
      <c r="F65" s="171" t="s">
        <v>25</v>
      </c>
      <c r="G65" s="171"/>
      <c r="H65" s="90">
        <v>8471.07</v>
      </c>
    </row>
    <row r="73" spans="2:8" ht="36" customHeight="1"/>
  </sheetData>
  <mergeCells count="6">
    <mergeCell ref="C4:D4"/>
    <mergeCell ref="C25:D25"/>
    <mergeCell ref="H25:I25"/>
    <mergeCell ref="F65:G65"/>
    <mergeCell ref="F53:G53"/>
    <mergeCell ref="B59:C59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E290A-28AD-AB4C-9CA4-DFCDE81AAC29}">
  <dimension ref="C3:J9"/>
  <sheetViews>
    <sheetView workbookViewId="0">
      <selection activeCell="F16" sqref="F16"/>
    </sheetView>
  </sheetViews>
  <sheetFormatPr baseColWidth="10" defaultRowHeight="16"/>
  <cols>
    <col min="1" max="3" width="10.83203125" style="22"/>
    <col min="4" max="4" width="12" style="22" bestFit="1" customWidth="1"/>
    <col min="5" max="5" width="10.83203125" style="22"/>
    <col min="6" max="6" width="15.5" style="22" bestFit="1" customWidth="1"/>
    <col min="7" max="16384" width="10.83203125" style="22"/>
  </cols>
  <sheetData>
    <row r="3" spans="3:10">
      <c r="C3" s="182" t="s">
        <v>21</v>
      </c>
      <c r="D3" s="183"/>
    </row>
    <row r="4" spans="3:10" ht="18" customHeight="1">
      <c r="C4" s="176" t="s">
        <v>19</v>
      </c>
      <c r="D4" s="177"/>
      <c r="E4" s="177"/>
      <c r="F4" s="178"/>
      <c r="I4" s="184" t="s">
        <v>22</v>
      </c>
      <c r="J4" s="185"/>
    </row>
    <row r="5" spans="3:10">
      <c r="C5" s="179"/>
      <c r="D5" s="180"/>
      <c r="E5" s="180"/>
      <c r="F5" s="181"/>
      <c r="I5" s="186"/>
      <c r="J5" s="187"/>
    </row>
    <row r="6" spans="3:10">
      <c r="C6" s="65"/>
      <c r="D6" s="46"/>
      <c r="E6" s="46"/>
      <c r="F6" s="61"/>
    </row>
    <row r="7" spans="3:10">
      <c r="C7" s="91" t="s">
        <v>20</v>
      </c>
      <c r="D7" s="11">
        <v>45000</v>
      </c>
      <c r="E7" s="46"/>
      <c r="F7" s="174">
        <f>D7/(1+D8)^D9</f>
        <v>36324.753448599069</v>
      </c>
    </row>
    <row r="8" spans="3:10">
      <c r="C8" s="91" t="s">
        <v>15</v>
      </c>
      <c r="D8" s="12">
        <v>5.5E-2</v>
      </c>
      <c r="E8" s="46"/>
      <c r="F8" s="174"/>
    </row>
    <row r="9" spans="3:10">
      <c r="C9" s="92" t="s">
        <v>7</v>
      </c>
      <c r="D9" s="93">
        <v>4</v>
      </c>
      <c r="E9" s="94"/>
      <c r="F9" s="175"/>
    </row>
  </sheetData>
  <mergeCells count="4">
    <mergeCell ref="F7:F9"/>
    <mergeCell ref="C4:F5"/>
    <mergeCell ref="C3:D3"/>
    <mergeCell ref="I4:J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B14AD-BE9B-1542-B78E-C8697DB813AA}">
  <dimension ref="A3:N15"/>
  <sheetViews>
    <sheetView zoomScale="125" workbookViewId="0">
      <selection activeCell="D10" sqref="D10"/>
    </sheetView>
  </sheetViews>
  <sheetFormatPr baseColWidth="10" defaultRowHeight="16"/>
  <cols>
    <col min="2" max="2" width="63.5" customWidth="1"/>
  </cols>
  <sheetData>
    <row r="3" spans="1:14">
      <c r="A3" s="36"/>
      <c r="B3" s="36"/>
      <c r="C3" s="37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>
      <c r="A4" s="22"/>
      <c r="B4" s="22"/>
      <c r="C4" s="3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>
      <c r="A5" s="22"/>
      <c r="B5" s="22"/>
      <c r="C5" s="32"/>
      <c r="D5" s="75">
        <v>2</v>
      </c>
      <c r="E5" s="75">
        <v>3</v>
      </c>
      <c r="F5" s="75">
        <v>4</v>
      </c>
      <c r="G5" s="75">
        <v>6</v>
      </c>
      <c r="H5" s="75">
        <v>12</v>
      </c>
      <c r="I5" s="22"/>
      <c r="J5" s="22"/>
      <c r="K5" s="22"/>
      <c r="L5" s="22"/>
      <c r="M5" s="22"/>
      <c r="N5" s="22"/>
    </row>
    <row r="6" spans="1:14" ht="34">
      <c r="A6" s="22"/>
      <c r="B6" s="98" t="s">
        <v>37</v>
      </c>
      <c r="C6" s="98" t="s">
        <v>36</v>
      </c>
      <c r="D6" s="98" t="s">
        <v>38</v>
      </c>
      <c r="E6" s="98" t="s">
        <v>39</v>
      </c>
      <c r="F6" s="98" t="s">
        <v>40</v>
      </c>
      <c r="G6" s="98" t="s">
        <v>41</v>
      </c>
      <c r="H6" s="98" t="s">
        <v>42</v>
      </c>
      <c r="I6" s="22"/>
      <c r="J6" s="22"/>
      <c r="K6" s="22"/>
      <c r="L6" s="22"/>
      <c r="M6" s="22"/>
      <c r="N6" s="22"/>
    </row>
    <row r="7" spans="1:14">
      <c r="A7" s="22"/>
      <c r="B7" s="22"/>
      <c r="C7" s="100">
        <v>0.06</v>
      </c>
      <c r="D7" s="99">
        <f>(1+$C$7)^(1/D5)-1</f>
        <v>2.9563014098699991E-2</v>
      </c>
      <c r="E7" s="99">
        <f>(1+$C$7)^(1/E5)-1</f>
        <v>1.9612822422216292E-2</v>
      </c>
      <c r="F7" s="99">
        <f>(1+$C$7)^(1/F5)-1</f>
        <v>1.4673846168659299E-2</v>
      </c>
      <c r="G7" s="99">
        <f>(1+$C$7)^(1/G5)-1</f>
        <v>9.7587941791923427E-3</v>
      </c>
      <c r="H7" s="99">
        <f>(1+$C$7)^(1/H5)-1</f>
        <v>4.8675505653430484E-3</v>
      </c>
      <c r="I7" s="22"/>
      <c r="J7" s="22"/>
      <c r="K7" s="22"/>
      <c r="L7" s="22"/>
      <c r="M7" s="22"/>
      <c r="N7" s="22"/>
    </row>
    <row r="8" spans="1:14">
      <c r="A8" s="22"/>
      <c r="B8" s="22"/>
      <c r="C8" s="3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ht="34">
      <c r="A9" s="22"/>
      <c r="B9" s="98" t="s">
        <v>43</v>
      </c>
      <c r="C9" s="32"/>
      <c r="D9" s="98" t="str">
        <f>D6</f>
        <v>Semestre 
(m=2)</v>
      </c>
      <c r="E9" s="98" t="str">
        <f>E6</f>
        <v>Quadrim
(m=3)</v>
      </c>
      <c r="F9" s="98" t="str">
        <f>F6</f>
        <v>Trimestre
(m=4)</v>
      </c>
      <c r="G9" s="98" t="str">
        <f>G6</f>
        <v>Bimestre
(m=6)</v>
      </c>
      <c r="H9" s="98" t="str">
        <f>H6</f>
        <v>Mensile
(m=12)</v>
      </c>
      <c r="I9" s="22"/>
      <c r="J9" s="22"/>
      <c r="K9" s="22"/>
      <c r="L9" s="22"/>
      <c r="M9" s="22"/>
      <c r="N9" s="22"/>
    </row>
    <row r="10" spans="1:14" ht="34">
      <c r="A10" s="22"/>
      <c r="B10" s="22"/>
      <c r="C10" s="98" t="s">
        <v>44</v>
      </c>
      <c r="D10" s="101">
        <v>2.5000000000000001E-2</v>
      </c>
      <c r="E10" s="101">
        <v>2.5000000000000001E-2</v>
      </c>
      <c r="F10" s="101">
        <v>2.5000000000000001E-2</v>
      </c>
      <c r="G10" s="101">
        <v>2.5000000000000001E-2</v>
      </c>
      <c r="H10" s="101">
        <v>2.5000000000000001E-2</v>
      </c>
      <c r="I10" s="22"/>
      <c r="J10" s="22"/>
      <c r="K10" s="22"/>
      <c r="L10" s="22"/>
      <c r="M10" s="22"/>
      <c r="N10" s="22"/>
    </row>
    <row r="11" spans="1:14">
      <c r="A11" s="22"/>
      <c r="B11" s="22"/>
      <c r="C11" s="3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ht="34">
      <c r="A12" s="22"/>
      <c r="B12" s="22"/>
      <c r="C12" s="32" t="s">
        <v>45</v>
      </c>
      <c r="D12" s="102">
        <f>(1+(D10))^D5-1</f>
        <v>5.062499999999992E-2</v>
      </c>
      <c r="E12" s="102">
        <f>(1+(E10))^E5-1</f>
        <v>7.6890624999999879E-2</v>
      </c>
      <c r="F12" s="102">
        <f>(1+(F10))^F5-1</f>
        <v>0.10381289062499977</v>
      </c>
      <c r="G12" s="102">
        <f>(1+(G10))^G5-1</f>
        <v>0.15969341821289018</v>
      </c>
      <c r="H12" s="102">
        <f>(1+(H10))^H5-1</f>
        <v>0.34488882424629752</v>
      </c>
      <c r="I12" s="22"/>
      <c r="J12" s="22"/>
      <c r="K12" s="22"/>
      <c r="L12" s="22"/>
      <c r="M12" s="22"/>
      <c r="N12" s="22"/>
    </row>
    <row r="13" spans="1:14">
      <c r="A13" s="22"/>
      <c r="B13" s="22"/>
      <c r="C13" s="3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>
      <c r="A14" s="22"/>
      <c r="B14" s="22"/>
      <c r="C14" s="3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>
      <c r="A15" s="36"/>
      <c r="B15" s="36"/>
      <c r="C15" s="37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6D23C-1FAD-BA44-B270-4F8777890B33}">
  <dimension ref="A3:J117"/>
  <sheetViews>
    <sheetView zoomScale="75" workbookViewId="0">
      <selection activeCell="J110" sqref="J110"/>
    </sheetView>
  </sheetViews>
  <sheetFormatPr baseColWidth="10" defaultRowHeight="16"/>
  <cols>
    <col min="2" max="2" width="54.5" customWidth="1"/>
    <col min="3" max="3" width="16.5" customWidth="1"/>
    <col min="4" max="4" width="13.33203125" customWidth="1"/>
    <col min="5" max="5" width="14.1640625" customWidth="1"/>
    <col min="6" max="6" width="12" bestFit="1" customWidth="1"/>
    <col min="7" max="7" width="15.33203125" bestFit="1" customWidth="1"/>
    <col min="8" max="8" width="12.5" customWidth="1"/>
  </cols>
  <sheetData>
    <row r="3" spans="1:10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ht="51">
      <c r="B4" s="31" t="s">
        <v>48</v>
      </c>
      <c r="D4" s="104" t="s">
        <v>15</v>
      </c>
      <c r="E4" s="105">
        <v>3.6499999999999998E-2</v>
      </c>
    </row>
    <row r="5" spans="1:10">
      <c r="C5" s="77" t="s">
        <v>46</v>
      </c>
      <c r="D5" s="77">
        <v>1</v>
      </c>
      <c r="E5" s="77">
        <v>2</v>
      </c>
      <c r="F5" s="77">
        <v>3</v>
      </c>
    </row>
    <row r="6" spans="1:10">
      <c r="B6" s="77" t="s">
        <v>47</v>
      </c>
      <c r="C6" s="103">
        <v>0</v>
      </c>
      <c r="D6" s="103">
        <v>0</v>
      </c>
      <c r="E6" s="103">
        <v>0</v>
      </c>
      <c r="F6" s="103">
        <v>5000</v>
      </c>
    </row>
    <row r="8" spans="1:10">
      <c r="B8" s="77" t="s">
        <v>49</v>
      </c>
      <c r="C8" s="103">
        <f>F6/(1+$E$4)^F5</f>
        <v>4490.1627744252492</v>
      </c>
      <c r="D8" s="103">
        <f>F6/(1+$E$4)^E5</f>
        <v>4654.0537156917708</v>
      </c>
    </row>
    <row r="9" spans="1:10">
      <c r="B9" s="77"/>
      <c r="C9" s="103"/>
      <c r="D9" s="103"/>
    </row>
    <row r="10" spans="1:10">
      <c r="A10" s="19"/>
      <c r="B10" s="109"/>
      <c r="C10" s="110"/>
      <c r="D10" s="110"/>
      <c r="E10" s="19"/>
      <c r="F10" s="19"/>
      <c r="G10" s="19"/>
      <c r="H10" s="19"/>
      <c r="I10" s="19"/>
      <c r="J10" s="19"/>
    </row>
    <row r="11" spans="1:10">
      <c r="B11" s="77"/>
      <c r="C11" s="103"/>
      <c r="D11" s="103"/>
    </row>
    <row r="13" spans="1:10" ht="52" customHeight="1">
      <c r="B13" s="106" t="s">
        <v>50</v>
      </c>
      <c r="D13" s="104" t="s">
        <v>15</v>
      </c>
      <c r="E13" s="105">
        <f>300/5000</f>
        <v>0.06</v>
      </c>
    </row>
    <row r="14" spans="1:10">
      <c r="C14" s="77" t="s">
        <v>46</v>
      </c>
      <c r="D14" s="77">
        <v>1</v>
      </c>
      <c r="E14" s="77">
        <v>2</v>
      </c>
      <c r="F14" s="77">
        <v>3</v>
      </c>
      <c r="G14" s="77">
        <v>4</v>
      </c>
      <c r="H14" s="111" t="s">
        <v>55</v>
      </c>
    </row>
    <row r="15" spans="1:10">
      <c r="B15" s="77" t="s">
        <v>47</v>
      </c>
      <c r="C15" s="103">
        <v>300</v>
      </c>
      <c r="D15" s="103">
        <v>300</v>
      </c>
      <c r="E15" s="103">
        <v>300</v>
      </c>
      <c r="F15" s="103">
        <v>300</v>
      </c>
      <c r="G15" s="103">
        <v>5300</v>
      </c>
      <c r="H15" s="107"/>
    </row>
    <row r="16" spans="1:10">
      <c r="B16" s="77" t="s">
        <v>52</v>
      </c>
      <c r="C16" s="81">
        <f>C15</f>
        <v>300</v>
      </c>
      <c r="D16" s="81">
        <f>D15/(1+$E$13)^D14</f>
        <v>283.01886792452831</v>
      </c>
      <c r="E16" s="81">
        <f t="shared" ref="E16:G16" si="0">E15/(1+$E$13)^E14</f>
        <v>266.99893200427192</v>
      </c>
      <c r="F16" s="81">
        <f t="shared" si="0"/>
        <v>251.8857849096905</v>
      </c>
      <c r="G16" s="81">
        <f t="shared" si="0"/>
        <v>4198.096415161508</v>
      </c>
      <c r="H16" s="108">
        <f>SUM(C16:G16)</f>
        <v>5299.9999999999991</v>
      </c>
    </row>
    <row r="17" spans="1:10">
      <c r="B17" s="77" t="s">
        <v>51</v>
      </c>
      <c r="C17" s="81">
        <v>0</v>
      </c>
      <c r="D17" s="81">
        <f>D15/(1+$E$13)^D14</f>
        <v>283.01886792452831</v>
      </c>
      <c r="E17" s="81">
        <f t="shared" ref="E17:G17" si="1">E15/(1+$E$13)^E14</f>
        <v>266.99893200427192</v>
      </c>
      <c r="F17" s="81">
        <f t="shared" si="1"/>
        <v>251.8857849096905</v>
      </c>
      <c r="G17" s="81">
        <f t="shared" si="1"/>
        <v>4198.096415161508</v>
      </c>
      <c r="H17" s="108">
        <f>SUM(C17:G17)</f>
        <v>4999.9999999999991</v>
      </c>
    </row>
    <row r="18" spans="1:10">
      <c r="B18" s="77" t="s">
        <v>53</v>
      </c>
      <c r="C18" s="81">
        <v>0</v>
      </c>
      <c r="D18" s="81">
        <v>0</v>
      </c>
      <c r="E18" s="81">
        <f>E15/(1+$E$13)^E14</f>
        <v>266.99893200427192</v>
      </c>
      <c r="F18" s="81">
        <f>F15/(1+$E$13)^F14</f>
        <v>251.8857849096905</v>
      </c>
      <c r="G18" s="81">
        <f>G15/(1+$E$13)^G14</f>
        <v>4198.096415161508</v>
      </c>
      <c r="H18" s="108">
        <f>SUM(C18:G18)</f>
        <v>4716.9811320754707</v>
      </c>
    </row>
    <row r="19" spans="1:10">
      <c r="B19" s="77" t="s">
        <v>54</v>
      </c>
      <c r="C19" s="81">
        <v>0</v>
      </c>
      <c r="D19" s="81">
        <v>0</v>
      </c>
      <c r="E19" s="81">
        <v>0</v>
      </c>
      <c r="F19" s="81">
        <f>F15/(1+$E$13)^F14</f>
        <v>251.8857849096905</v>
      </c>
      <c r="G19" s="81">
        <f>G15/(1+$E$13)^G14</f>
        <v>4198.096415161508</v>
      </c>
      <c r="H19" s="108">
        <f>SUM(C19:G19)</f>
        <v>4449.9822000711983</v>
      </c>
    </row>
    <row r="21" spans="1:10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5" spans="1:10" ht="51">
      <c r="B25" s="31" t="s">
        <v>58</v>
      </c>
      <c r="D25" s="104" t="s">
        <v>15</v>
      </c>
      <c r="E25" s="105">
        <v>5.7500000000000002E-2</v>
      </c>
    </row>
    <row r="26" spans="1:10">
      <c r="C26" s="77"/>
      <c r="D26" s="77"/>
      <c r="E26" s="77"/>
      <c r="F26" s="77"/>
    </row>
    <row r="27" spans="1:10">
      <c r="B27" s="77" t="s">
        <v>56</v>
      </c>
      <c r="C27" s="103"/>
      <c r="D27" s="112">
        <f>750/E25</f>
        <v>13043.478260869564</v>
      </c>
      <c r="E27" s="103"/>
      <c r="F27" s="103"/>
    </row>
    <row r="29" spans="1:10">
      <c r="B29" s="77" t="s">
        <v>57</v>
      </c>
      <c r="D29" s="112">
        <f>750/E25</f>
        <v>13043.478260869564</v>
      </c>
    </row>
    <row r="31" spans="1:10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4" spans="1:10" ht="44" customHeight="1">
      <c r="B34" s="200" t="s">
        <v>79</v>
      </c>
      <c r="C34" s="200"/>
      <c r="D34" s="200"/>
      <c r="E34" s="200"/>
      <c r="F34" s="200"/>
    </row>
    <row r="36" spans="1:10">
      <c r="B36" s="113" t="s">
        <v>59</v>
      </c>
      <c r="C36" s="115">
        <v>2000000</v>
      </c>
    </row>
    <row r="37" spans="1:10">
      <c r="B37" s="113" t="s">
        <v>60</v>
      </c>
      <c r="C37" s="116">
        <v>13000000</v>
      </c>
    </row>
    <row r="38" spans="1:10">
      <c r="B38" s="113" t="s">
        <v>6</v>
      </c>
      <c r="C38" s="117">
        <v>7.4999999999999997E-2</v>
      </c>
    </row>
    <row r="39" spans="1:10">
      <c r="B39" s="113"/>
    </row>
    <row r="40" spans="1:10">
      <c r="B40" s="113" t="s">
        <v>61</v>
      </c>
      <c r="C40" s="116">
        <f>C37/C36</f>
        <v>6.5</v>
      </c>
    </row>
    <row r="42" spans="1:10">
      <c r="B42" s="113" t="s">
        <v>62</v>
      </c>
      <c r="C42" s="81">
        <f>C40/C38</f>
        <v>86.666666666666671</v>
      </c>
    </row>
    <row r="44" spans="1:10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7" spans="1:10" ht="52" customHeight="1">
      <c r="B47" s="200" t="s">
        <v>80</v>
      </c>
      <c r="C47" s="200"/>
      <c r="D47" s="200"/>
      <c r="E47" s="200"/>
      <c r="F47" s="200"/>
    </row>
    <row r="49" spans="1:10">
      <c r="B49" s="113" t="s">
        <v>63</v>
      </c>
      <c r="C49" s="118">
        <v>5.5</v>
      </c>
    </row>
    <row r="50" spans="1:10">
      <c r="B50" s="113" t="s">
        <v>64</v>
      </c>
      <c r="C50" s="114">
        <v>0.06</v>
      </c>
    </row>
    <row r="51" spans="1:10">
      <c r="B51" s="113" t="s">
        <v>65</v>
      </c>
      <c r="C51" s="114">
        <v>0.09</v>
      </c>
    </row>
    <row r="52" spans="1:10">
      <c r="B52" s="113"/>
      <c r="C52" s="77"/>
    </row>
    <row r="53" spans="1:10">
      <c r="B53" s="113" t="s">
        <v>66</v>
      </c>
      <c r="C53" s="118">
        <f>C49/(C51-C50)</f>
        <v>183.33333333333334</v>
      </c>
    </row>
    <row r="54" spans="1:10">
      <c r="B54" s="113"/>
      <c r="C54" s="77"/>
    </row>
    <row r="55" spans="1:10">
      <c r="A55" s="19"/>
      <c r="B55" s="119"/>
      <c r="C55" s="109"/>
      <c r="D55" s="19"/>
      <c r="E55" s="19"/>
      <c r="F55" s="19"/>
      <c r="G55" s="19"/>
      <c r="H55" s="19"/>
      <c r="I55" s="19"/>
      <c r="J55" s="19"/>
    </row>
    <row r="56" spans="1:10">
      <c r="B56" s="113"/>
    </row>
    <row r="58" spans="1:10" ht="52" customHeight="1">
      <c r="B58" s="200" t="s">
        <v>81</v>
      </c>
      <c r="C58" s="200"/>
      <c r="D58" s="200"/>
      <c r="E58" s="200"/>
      <c r="F58" s="200"/>
    </row>
    <row r="60" spans="1:10">
      <c r="B60" s="113" t="s">
        <v>63</v>
      </c>
      <c r="C60" s="118">
        <v>6.2</v>
      </c>
    </row>
    <row r="61" spans="1:10">
      <c r="B61" s="113" t="s">
        <v>67</v>
      </c>
      <c r="C61" s="114">
        <v>0.09</v>
      </c>
    </row>
    <row r="62" spans="1:10">
      <c r="B62" s="113" t="s">
        <v>68</v>
      </c>
      <c r="C62" s="114">
        <v>0.05</v>
      </c>
    </row>
    <row r="63" spans="1:10">
      <c r="B63" s="113" t="s">
        <v>65</v>
      </c>
      <c r="C63" s="114">
        <v>0.13</v>
      </c>
    </row>
    <row r="65" spans="1:10">
      <c r="B65" s="120" t="s">
        <v>69</v>
      </c>
      <c r="C65" s="121">
        <f>C60/(1+C63)+(C60*(1+C61)/(1+C63)^2)+(C60*(1+C61)^2/(1+C63)^3)+(C60*(1+C61)^3/(1+C63)^4)+((C60*(1+C61)^3)/(C63-C62))/(1+C63)^4</f>
        <v>82.364416496137025</v>
      </c>
    </row>
    <row r="67" spans="1:10">
      <c r="A67" s="19"/>
      <c r="B67" s="19"/>
      <c r="C67" s="19"/>
      <c r="D67" s="19"/>
      <c r="E67" s="19"/>
      <c r="F67" s="19"/>
      <c r="G67" s="19"/>
      <c r="H67" s="19"/>
      <c r="I67" s="19"/>
      <c r="J67" s="19"/>
    </row>
    <row r="70" spans="1:10" ht="94" customHeight="1">
      <c r="B70" s="193" t="s">
        <v>105</v>
      </c>
      <c r="C70" s="193"/>
      <c r="D70" s="193"/>
      <c r="E70" s="193"/>
      <c r="F70" s="193"/>
      <c r="G70" s="193"/>
      <c r="H70" s="193"/>
    </row>
    <row r="71" spans="1:10" ht="94" customHeight="1">
      <c r="B71" s="193"/>
      <c r="C71" s="193"/>
      <c r="D71" s="193"/>
      <c r="E71" s="193"/>
      <c r="F71" s="193"/>
      <c r="G71" s="193"/>
      <c r="H71" s="193"/>
    </row>
    <row r="72" spans="1:10" ht="17" thickBot="1"/>
    <row r="73" spans="1:10">
      <c r="B73" s="201" t="s">
        <v>82</v>
      </c>
      <c r="C73" s="202"/>
      <c r="D73" s="202"/>
      <c r="E73" s="202"/>
      <c r="F73" s="202"/>
      <c r="G73" s="202"/>
      <c r="H73" s="203"/>
    </row>
    <row r="74" spans="1:10">
      <c r="B74" s="133"/>
      <c r="C74" s="134"/>
      <c r="D74" s="134"/>
      <c r="E74" s="134"/>
      <c r="F74" s="134"/>
      <c r="G74" s="134"/>
      <c r="H74" s="135"/>
    </row>
    <row r="75" spans="1:10">
      <c r="B75" s="156" t="s">
        <v>83</v>
      </c>
      <c r="C75" s="158">
        <v>3500000</v>
      </c>
      <c r="D75" s="134"/>
      <c r="E75" s="134"/>
      <c r="F75" s="134"/>
      <c r="G75" s="134"/>
      <c r="H75" s="135"/>
    </row>
    <row r="76" spans="1:10">
      <c r="B76" s="156" t="s">
        <v>84</v>
      </c>
      <c r="C76" s="159">
        <v>6800000</v>
      </c>
      <c r="D76" s="134"/>
      <c r="E76" s="134"/>
      <c r="F76" s="134"/>
      <c r="G76" s="134"/>
      <c r="H76" s="135"/>
    </row>
    <row r="77" spans="1:10" ht="17" thickBot="1">
      <c r="B77" s="204" t="s">
        <v>14</v>
      </c>
      <c r="C77" s="205"/>
      <c r="D77" s="134"/>
      <c r="E77" s="134"/>
      <c r="F77" s="134"/>
      <c r="G77" s="134"/>
      <c r="H77" s="135"/>
    </row>
    <row r="78" spans="1:10" ht="17" thickBot="1">
      <c r="B78" s="136" t="s">
        <v>85</v>
      </c>
      <c r="C78" s="137" t="s">
        <v>70</v>
      </c>
      <c r="D78" s="134"/>
      <c r="E78" s="134"/>
      <c r="F78" s="134"/>
      <c r="G78" s="134"/>
      <c r="H78" s="135"/>
    </row>
    <row r="79" spans="1:10">
      <c r="B79" s="138">
        <v>1</v>
      </c>
      <c r="C79" s="139">
        <v>-450000</v>
      </c>
      <c r="D79" s="134"/>
      <c r="E79" s="134"/>
      <c r="F79" s="134"/>
      <c r="G79" s="134"/>
      <c r="H79" s="135"/>
    </row>
    <row r="80" spans="1:10">
      <c r="B80" s="140">
        <v>2</v>
      </c>
      <c r="C80" s="139">
        <v>-450000</v>
      </c>
      <c r="D80" s="134"/>
      <c r="E80" s="206" t="s">
        <v>86</v>
      </c>
      <c r="F80" s="207"/>
      <c r="G80" s="141">
        <f>D91/C75</f>
        <v>22.33169129720854</v>
      </c>
      <c r="H80" s="135"/>
    </row>
    <row r="81" spans="2:8">
      <c r="B81" s="140">
        <v>3</v>
      </c>
      <c r="C81" s="139">
        <v>-580000</v>
      </c>
      <c r="D81" s="134"/>
      <c r="E81" s="194" t="s">
        <v>87</v>
      </c>
      <c r="F81" s="195"/>
      <c r="G81" s="142">
        <f>G105/C75</f>
        <v>22.570141454248287</v>
      </c>
      <c r="H81" s="135"/>
    </row>
    <row r="82" spans="2:8">
      <c r="B82" s="140">
        <v>4</v>
      </c>
      <c r="C82" s="139">
        <v>-580000</v>
      </c>
      <c r="D82" s="134"/>
      <c r="E82" s="134"/>
      <c r="F82" s="134"/>
      <c r="G82" s="134"/>
      <c r="H82" s="135"/>
    </row>
    <row r="83" spans="2:8">
      <c r="B83" s="140">
        <v>5</v>
      </c>
      <c r="C83" s="139">
        <v>0</v>
      </c>
      <c r="D83" s="134"/>
      <c r="E83" s="134"/>
      <c r="F83" s="134"/>
      <c r="G83" s="134"/>
      <c r="H83" s="135"/>
    </row>
    <row r="84" spans="2:8">
      <c r="B84" s="140">
        <v>6</v>
      </c>
      <c r="C84" s="139">
        <f>-SUM(C79:C83)*C86</f>
        <v>329600</v>
      </c>
      <c r="D84" s="134"/>
      <c r="E84" s="134"/>
      <c r="F84" s="134"/>
      <c r="G84" s="134"/>
      <c r="H84" s="135"/>
    </row>
    <row r="85" spans="2:8">
      <c r="B85" s="133"/>
      <c r="C85" s="134"/>
      <c r="D85" s="134"/>
      <c r="E85" s="134"/>
      <c r="F85" s="134"/>
      <c r="G85" s="134"/>
      <c r="H85" s="135"/>
    </row>
    <row r="86" spans="2:8">
      <c r="B86" s="156" t="s">
        <v>88</v>
      </c>
      <c r="C86" s="143">
        <v>0.16</v>
      </c>
      <c r="D86" s="144" t="s">
        <v>89</v>
      </c>
      <c r="E86" s="157">
        <v>6</v>
      </c>
      <c r="F86" s="134"/>
      <c r="G86" s="134"/>
      <c r="H86" s="135"/>
    </row>
    <row r="87" spans="2:8">
      <c r="B87" s="156" t="s">
        <v>90</v>
      </c>
      <c r="C87" s="145">
        <v>8.6999999999999994E-2</v>
      </c>
      <c r="D87" s="134"/>
      <c r="E87" s="134"/>
      <c r="F87" s="134"/>
      <c r="G87" s="134"/>
      <c r="H87" s="135"/>
    </row>
    <row r="88" spans="2:8">
      <c r="B88" s="133"/>
      <c r="C88" s="134"/>
      <c r="D88" s="134"/>
      <c r="E88" s="134"/>
      <c r="F88" s="134"/>
      <c r="G88" s="134"/>
      <c r="H88" s="135"/>
    </row>
    <row r="89" spans="2:8">
      <c r="B89" s="196" t="s">
        <v>91</v>
      </c>
      <c r="C89" s="197"/>
      <c r="D89" s="197"/>
      <c r="E89" s="197"/>
      <c r="F89" s="197"/>
      <c r="G89" s="197"/>
      <c r="H89" s="198"/>
    </row>
    <row r="90" spans="2:8">
      <c r="B90" s="133"/>
      <c r="C90" s="134"/>
      <c r="D90" s="134"/>
      <c r="E90" s="134"/>
      <c r="F90" s="134"/>
      <c r="G90" s="134"/>
      <c r="H90" s="135"/>
    </row>
    <row r="91" spans="2:8">
      <c r="B91" s="146" t="s">
        <v>92</v>
      </c>
      <c r="C91" s="144" t="s">
        <v>93</v>
      </c>
      <c r="D91" s="199">
        <f>C76/C87</f>
        <v>78160919.540229887</v>
      </c>
      <c r="E91" s="199"/>
      <c r="F91" s="134"/>
      <c r="G91" s="134"/>
      <c r="H91" s="135"/>
    </row>
    <row r="92" spans="2:8">
      <c r="B92" s="133"/>
      <c r="C92" s="134"/>
      <c r="D92" s="134"/>
      <c r="E92" s="134"/>
      <c r="F92" s="134"/>
      <c r="G92" s="134"/>
      <c r="H92" s="135"/>
    </row>
    <row r="93" spans="2:8">
      <c r="B93" s="196" t="s">
        <v>94</v>
      </c>
      <c r="C93" s="197"/>
      <c r="D93" s="197"/>
      <c r="E93" s="197"/>
      <c r="F93" s="197"/>
      <c r="G93" s="197"/>
      <c r="H93" s="198"/>
    </row>
    <row r="94" spans="2:8">
      <c r="B94" s="133"/>
      <c r="C94" s="134"/>
      <c r="D94" s="134"/>
      <c r="E94" s="134"/>
      <c r="F94" s="134"/>
      <c r="G94" s="134"/>
      <c r="H94" s="135"/>
    </row>
    <row r="95" spans="2:8">
      <c r="B95" s="188" t="s">
        <v>95</v>
      </c>
      <c r="C95" s="189"/>
      <c r="D95" s="189"/>
      <c r="E95" s="189"/>
      <c r="F95" s="189"/>
      <c r="G95" s="189"/>
      <c r="H95" s="190"/>
    </row>
    <row r="96" spans="2:8" ht="17" thickBot="1">
      <c r="B96" s="133"/>
      <c r="C96" s="134"/>
      <c r="D96" s="134"/>
      <c r="E96" s="134"/>
      <c r="F96" s="134"/>
      <c r="G96" s="134"/>
      <c r="H96" s="135"/>
    </row>
    <row r="97" spans="2:8" ht="17" thickBot="1">
      <c r="B97" s="147" t="s">
        <v>96</v>
      </c>
      <c r="C97" s="148" t="s">
        <v>70</v>
      </c>
      <c r="D97" s="148" t="s">
        <v>97</v>
      </c>
      <c r="E97" s="149" t="s">
        <v>98</v>
      </c>
      <c r="F97" s="134"/>
      <c r="G97" s="134"/>
      <c r="H97" s="135"/>
    </row>
    <row r="98" spans="2:8">
      <c r="B98" s="150">
        <f t="shared" ref="B98:C103" si="2">B79</f>
        <v>1</v>
      </c>
      <c r="C98" s="151">
        <f t="shared" si="2"/>
        <v>-450000</v>
      </c>
      <c r="D98" s="161">
        <f>(1+$C$87)^B98</f>
        <v>1.087</v>
      </c>
      <c r="E98" s="151">
        <f>C98/D98</f>
        <v>-413983.4406623735</v>
      </c>
      <c r="F98" s="134"/>
      <c r="G98" s="134"/>
      <c r="H98" s="135"/>
    </row>
    <row r="99" spans="2:8">
      <c r="B99" s="150">
        <f t="shared" si="2"/>
        <v>2</v>
      </c>
      <c r="C99" s="151">
        <f t="shared" si="2"/>
        <v>-450000</v>
      </c>
      <c r="D99" s="161">
        <f t="shared" ref="D99:D101" si="3">(1+$C$87)^B99</f>
        <v>1.1815689999999999</v>
      </c>
      <c r="E99" s="151">
        <f>C99/D99</f>
        <v>-380849.53142812656</v>
      </c>
      <c r="F99" s="134"/>
      <c r="G99" s="134"/>
      <c r="H99" s="135"/>
    </row>
    <row r="100" spans="2:8">
      <c r="B100" s="150">
        <f t="shared" si="2"/>
        <v>3</v>
      </c>
      <c r="C100" s="151">
        <f t="shared" si="2"/>
        <v>-580000</v>
      </c>
      <c r="D100" s="161">
        <f t="shared" si="3"/>
        <v>1.2843655029999999</v>
      </c>
      <c r="E100" s="151">
        <f>C100/D100</f>
        <v>-451584.84765064582</v>
      </c>
      <c r="F100" s="134"/>
      <c r="G100" s="134"/>
      <c r="H100" s="135"/>
    </row>
    <row r="101" spans="2:8">
      <c r="B101" s="150">
        <f t="shared" si="2"/>
        <v>4</v>
      </c>
      <c r="C101" s="151">
        <f t="shared" si="2"/>
        <v>-580000</v>
      </c>
      <c r="D101" s="161">
        <f t="shared" si="3"/>
        <v>1.3961053017609997</v>
      </c>
      <c r="E101" s="151">
        <f>C101/D101</f>
        <v>-415441.44218090695</v>
      </c>
      <c r="F101" s="134"/>
      <c r="G101" s="134"/>
      <c r="H101" s="135"/>
    </row>
    <row r="102" spans="2:8">
      <c r="B102" s="150">
        <f t="shared" si="2"/>
        <v>5</v>
      </c>
      <c r="C102" s="151">
        <f t="shared" si="2"/>
        <v>0</v>
      </c>
      <c r="D102" s="160">
        <f>C87</f>
        <v>8.6999999999999994E-2</v>
      </c>
      <c r="E102" s="151">
        <f>C102/D102</f>
        <v>0</v>
      </c>
      <c r="F102" s="134" t="s">
        <v>99</v>
      </c>
      <c r="G102" s="134"/>
      <c r="H102" s="135"/>
    </row>
    <row r="103" spans="2:8">
      <c r="B103" s="150">
        <f t="shared" si="2"/>
        <v>6</v>
      </c>
      <c r="C103" s="151">
        <f t="shared" si="2"/>
        <v>329600</v>
      </c>
      <c r="D103" s="160">
        <f>C87</f>
        <v>8.6999999999999994E-2</v>
      </c>
      <c r="E103" s="151">
        <f>(((C103/D103)*((1/(1+C87)^B102))))</f>
        <v>2496434.8115611803</v>
      </c>
      <c r="F103" s="134"/>
      <c r="G103" s="134"/>
      <c r="H103" s="135"/>
    </row>
    <row r="104" spans="2:8" ht="17" thickBot="1">
      <c r="B104" s="152"/>
      <c r="C104" s="153"/>
      <c r="D104" s="153"/>
      <c r="E104" s="151">
        <f>SUM(E98:E103)</f>
        <v>834575.54963912745</v>
      </c>
      <c r="F104" s="134"/>
      <c r="G104" s="134"/>
      <c r="H104" s="135"/>
    </row>
    <row r="105" spans="2:8">
      <c r="B105" s="133"/>
      <c r="C105" s="134"/>
      <c r="D105" s="134"/>
      <c r="E105" s="191" t="s">
        <v>100</v>
      </c>
      <c r="F105" s="192"/>
      <c r="G105" s="154">
        <f>E104+D91</f>
        <v>78995495.089869007</v>
      </c>
      <c r="H105" s="135"/>
    </row>
    <row r="106" spans="2:8">
      <c r="B106" s="188" t="s">
        <v>101</v>
      </c>
      <c r="C106" s="189"/>
      <c r="D106" s="189"/>
      <c r="E106" s="189"/>
      <c r="F106" s="189"/>
      <c r="G106" s="189"/>
      <c r="H106" s="190"/>
    </row>
    <row r="107" spans="2:8" ht="17" thickBot="1">
      <c r="B107" s="133"/>
      <c r="C107" s="134"/>
      <c r="D107" s="134"/>
      <c r="E107" s="134"/>
      <c r="F107" s="134"/>
      <c r="G107" s="134"/>
      <c r="H107" s="135"/>
    </row>
    <row r="108" spans="2:8" ht="17" thickBot="1">
      <c r="B108" s="136" t="s">
        <v>96</v>
      </c>
      <c r="C108" s="137" t="s">
        <v>84</v>
      </c>
      <c r="D108" s="137" t="s">
        <v>102</v>
      </c>
      <c r="E108" s="137" t="s">
        <v>60</v>
      </c>
      <c r="F108" s="137" t="str">
        <f>D97</f>
        <v>Fatt.att.</v>
      </c>
      <c r="G108" s="155" t="s">
        <v>103</v>
      </c>
      <c r="H108" s="135"/>
    </row>
    <row r="109" spans="2:8">
      <c r="B109" s="138">
        <f t="shared" ref="B109:B114" si="4">B98</f>
        <v>1</v>
      </c>
      <c r="C109" s="151">
        <f>C76</f>
        <v>6800000</v>
      </c>
      <c r="D109" s="151">
        <f t="shared" ref="D109:D114" si="5">C98</f>
        <v>-450000</v>
      </c>
      <c r="E109" s="151">
        <f t="shared" ref="E109:E114" si="6">C109+D109</f>
        <v>6350000</v>
      </c>
      <c r="F109" s="162">
        <f>D98</f>
        <v>1.087</v>
      </c>
      <c r="G109" s="151">
        <f t="shared" ref="G109:G113" si="7">E109/F109</f>
        <v>5841766.3293468263</v>
      </c>
      <c r="H109" s="135"/>
    </row>
    <row r="110" spans="2:8">
      <c r="B110" s="138">
        <f t="shared" si="4"/>
        <v>2</v>
      </c>
      <c r="C110" s="151">
        <f>C109</f>
        <v>6800000</v>
      </c>
      <c r="D110" s="151">
        <f t="shared" si="5"/>
        <v>-450000</v>
      </c>
      <c r="E110" s="151">
        <f t="shared" si="6"/>
        <v>6350000</v>
      </c>
      <c r="F110" s="163">
        <f>D99</f>
        <v>1.1815689999999999</v>
      </c>
      <c r="G110" s="151">
        <f t="shared" si="7"/>
        <v>5374210.0545968972</v>
      </c>
      <c r="H110" s="135"/>
    </row>
    <row r="111" spans="2:8">
      <c r="B111" s="138">
        <f t="shared" si="4"/>
        <v>3</v>
      </c>
      <c r="C111" s="151">
        <f>C110</f>
        <v>6800000</v>
      </c>
      <c r="D111" s="151">
        <f t="shared" si="5"/>
        <v>-580000</v>
      </c>
      <c r="E111" s="151">
        <f t="shared" si="6"/>
        <v>6220000</v>
      </c>
      <c r="F111" s="163">
        <f>D100</f>
        <v>1.2843655029999999</v>
      </c>
      <c r="G111" s="151">
        <f t="shared" si="7"/>
        <v>4842858.1937707188</v>
      </c>
      <c r="H111" s="135"/>
    </row>
    <row r="112" spans="2:8">
      <c r="B112" s="138">
        <f t="shared" si="4"/>
        <v>4</v>
      </c>
      <c r="C112" s="151">
        <f>C111</f>
        <v>6800000</v>
      </c>
      <c r="D112" s="151">
        <f t="shared" si="5"/>
        <v>-580000</v>
      </c>
      <c r="E112" s="151">
        <f t="shared" si="6"/>
        <v>6220000</v>
      </c>
      <c r="F112" s="163">
        <f>D101</f>
        <v>1.3961053017609997</v>
      </c>
      <c r="G112" s="151">
        <f t="shared" si="7"/>
        <v>4455251.3282159334</v>
      </c>
      <c r="H112" s="135"/>
    </row>
    <row r="113" spans="2:8">
      <c r="B113" s="138">
        <f t="shared" si="4"/>
        <v>5</v>
      </c>
      <c r="C113" s="151">
        <f>C112</f>
        <v>6800000</v>
      </c>
      <c r="D113" s="151">
        <f t="shared" si="5"/>
        <v>0</v>
      </c>
      <c r="E113" s="151">
        <f t="shared" si="6"/>
        <v>6800000</v>
      </c>
      <c r="F113" s="163">
        <f>(1+C87)^B102</f>
        <v>1.5175664630142065</v>
      </c>
      <c r="G113" s="151">
        <f t="shared" si="7"/>
        <v>4480858.1144405156</v>
      </c>
      <c r="H113" s="135"/>
    </row>
    <row r="114" spans="2:8">
      <c r="B114" s="138">
        <f t="shared" si="4"/>
        <v>6</v>
      </c>
      <c r="C114" s="151">
        <f>C113</f>
        <v>6800000</v>
      </c>
      <c r="D114" s="151">
        <f t="shared" si="5"/>
        <v>329600</v>
      </c>
      <c r="E114" s="151">
        <f t="shared" si="6"/>
        <v>7129600</v>
      </c>
      <c r="F114" s="164"/>
      <c r="G114" s="151">
        <f>(E114/C87)/(1+C87)^5</f>
        <v>54000551.069498152</v>
      </c>
      <c r="H114" s="135"/>
    </row>
    <row r="115" spans="2:8">
      <c r="B115" s="133"/>
      <c r="C115" s="134"/>
      <c r="D115" s="134"/>
      <c r="E115" s="134"/>
      <c r="F115" s="134"/>
      <c r="G115" s="134"/>
      <c r="H115" s="135"/>
    </row>
    <row r="116" spans="2:8">
      <c r="B116" s="134"/>
      <c r="C116" s="134"/>
      <c r="D116" s="134"/>
      <c r="E116" s="191" t="s">
        <v>104</v>
      </c>
      <c r="F116" s="192"/>
      <c r="G116" s="154">
        <f>SUM(G109:G114)</f>
        <v>78995495.089869052</v>
      </c>
      <c r="H116" s="134"/>
    </row>
    <row r="117" spans="2:8">
      <c r="B117" s="134"/>
      <c r="C117" s="134"/>
      <c r="D117" s="134"/>
      <c r="E117" s="134"/>
      <c r="F117" s="134"/>
      <c r="G117" s="134"/>
      <c r="H117" s="134"/>
    </row>
  </sheetData>
  <mergeCells count="15">
    <mergeCell ref="B58:F58"/>
    <mergeCell ref="B47:F47"/>
    <mergeCell ref="B34:F34"/>
    <mergeCell ref="B73:H73"/>
    <mergeCell ref="B77:C77"/>
    <mergeCell ref="B106:H106"/>
    <mergeCell ref="E116:F116"/>
    <mergeCell ref="B70:H71"/>
    <mergeCell ref="E81:F81"/>
    <mergeCell ref="B89:H89"/>
    <mergeCell ref="D91:E91"/>
    <mergeCell ref="B93:H93"/>
    <mergeCell ref="B95:H95"/>
    <mergeCell ref="E105:F105"/>
    <mergeCell ref="E80:F8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E2E3E-A7B1-914B-B15D-2399AD1C8E4E}">
  <dimension ref="A32:K68"/>
  <sheetViews>
    <sheetView tabSelected="1" topLeftCell="A7" zoomScale="83" workbookViewId="0">
      <selection activeCell="B33" sqref="B33"/>
    </sheetView>
  </sheetViews>
  <sheetFormatPr baseColWidth="10" defaultRowHeight="16"/>
  <cols>
    <col min="2" max="2" width="47.6640625" customWidth="1"/>
    <col min="3" max="3" width="12" customWidth="1"/>
    <col min="4" max="6" width="15" customWidth="1"/>
    <col min="7" max="7" width="13.83203125" customWidth="1"/>
  </cols>
  <sheetData>
    <row r="32" spans="2:5" ht="68" customHeight="1">
      <c r="B32" s="211" t="s">
        <v>106</v>
      </c>
      <c r="C32" s="211"/>
      <c r="D32" s="211"/>
      <c r="E32" s="211"/>
    </row>
    <row r="33" spans="1:11">
      <c r="C33" s="77">
        <v>0</v>
      </c>
      <c r="D33" s="77">
        <v>1</v>
      </c>
      <c r="E33" s="77">
        <v>2</v>
      </c>
    </row>
    <row r="34" spans="1:11">
      <c r="B34" s="113" t="s">
        <v>70</v>
      </c>
      <c r="C34" s="124">
        <v>-4000</v>
      </c>
      <c r="D34" s="124">
        <v>2000</v>
      </c>
      <c r="E34" s="124">
        <v>3000</v>
      </c>
    </row>
    <row r="35" spans="1:11">
      <c r="B35" s="113"/>
    </row>
    <row r="36" spans="1:11">
      <c r="B36" s="113" t="s">
        <v>71</v>
      </c>
      <c r="C36" s="114">
        <f>IRR(C34:E34)</f>
        <v>0.15138781886597652</v>
      </c>
    </row>
    <row r="37" spans="1:11">
      <c r="B37" s="113"/>
      <c r="C37" s="114"/>
    </row>
    <row r="38" spans="1:11">
      <c r="B38" s="113" t="s">
        <v>72</v>
      </c>
      <c r="C38" s="124">
        <f>C34</f>
        <v>-4000</v>
      </c>
      <c r="D38" s="124">
        <f>D34/(1+$C$36)^D33</f>
        <v>1737.034183642691</v>
      </c>
      <c r="E38" s="124">
        <f>E34/(1+$C$36)^E33</f>
        <v>2262.9658163574222</v>
      </c>
      <c r="G38" s="122">
        <f>SUM(C38:E38)</f>
        <v>1.1323209037072957E-10</v>
      </c>
    </row>
    <row r="39" spans="1:11">
      <c r="B39" s="113"/>
      <c r="C39" s="114"/>
    </row>
    <row r="41" spans="1:1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3" spans="1:11">
      <c r="C43" s="77">
        <v>0</v>
      </c>
      <c r="D43" s="77">
        <v>1</v>
      </c>
      <c r="E43" s="77">
        <v>2</v>
      </c>
      <c r="F43" s="77">
        <v>3</v>
      </c>
      <c r="G43" s="77">
        <v>4</v>
      </c>
      <c r="H43" s="77">
        <v>5</v>
      </c>
      <c r="I43" s="77">
        <v>6</v>
      </c>
    </row>
    <row r="44" spans="1:11">
      <c r="B44" s="113" t="s">
        <v>70</v>
      </c>
      <c r="C44" s="124">
        <v>7300</v>
      </c>
      <c r="D44" s="124">
        <v>-3600</v>
      </c>
      <c r="E44" s="124">
        <v>-4320</v>
      </c>
      <c r="F44" s="124">
        <v>-1728</v>
      </c>
    </row>
    <row r="46" spans="1:11">
      <c r="B46" s="113" t="s">
        <v>71</v>
      </c>
      <c r="C46" s="114">
        <f>IRR(C44:F44)</f>
        <v>0.17108148706958848</v>
      </c>
    </row>
    <row r="48" spans="1:11">
      <c r="B48" s="113" t="s">
        <v>73</v>
      </c>
      <c r="C48" s="124">
        <f>C44</f>
        <v>7300</v>
      </c>
      <c r="D48" s="124">
        <f>D44/(1+$C$46)^D43</f>
        <v>-3074.0815560224796</v>
      </c>
      <c r="E48" s="124">
        <f t="shared" ref="E48:F48" si="0">E44/(1+$C$46)^E43</f>
        <v>-3149.9924710258633</v>
      </c>
      <c r="F48" s="124">
        <f t="shared" si="0"/>
        <v>-1075.9259729766982</v>
      </c>
      <c r="G48" s="123">
        <f>SUM(C48:F48)</f>
        <v>-2.504157237126492E-8</v>
      </c>
    </row>
    <row r="50" spans="1:11">
      <c r="A50" s="125"/>
      <c r="B50" s="125"/>
      <c r="C50" s="125"/>
      <c r="D50" s="125"/>
      <c r="E50" s="125"/>
      <c r="F50" s="125"/>
      <c r="G50" s="125"/>
      <c r="H50" s="208" t="s">
        <v>74</v>
      </c>
      <c r="I50" s="208"/>
      <c r="J50" s="127" t="s">
        <v>75</v>
      </c>
      <c r="K50" s="125"/>
    </row>
    <row r="52" spans="1:11">
      <c r="B52" s="113" t="s">
        <v>70</v>
      </c>
      <c r="C52" s="124">
        <f>-C44</f>
        <v>-7300</v>
      </c>
      <c r="D52" s="124">
        <f t="shared" ref="D52:F52" si="1">-D44</f>
        <v>3600</v>
      </c>
      <c r="E52" s="124">
        <f t="shared" si="1"/>
        <v>4320</v>
      </c>
      <c r="F52" s="124">
        <f t="shared" si="1"/>
        <v>1728</v>
      </c>
      <c r="G52" s="124"/>
    </row>
    <row r="54" spans="1:11">
      <c r="B54" s="113" t="s">
        <v>71</v>
      </c>
      <c r="C54" s="114">
        <f>IRR(C52:G52)</f>
        <v>0.17108148706913706</v>
      </c>
    </row>
    <row r="56" spans="1:11">
      <c r="B56" s="113" t="s">
        <v>73</v>
      </c>
      <c r="C56" s="124">
        <f>C52</f>
        <v>-7300</v>
      </c>
      <c r="D56" s="124">
        <f>D52/(1+$C$54)^D43</f>
        <v>3074.0815560236647</v>
      </c>
      <c r="E56" s="124">
        <f t="shared" ref="E56:F56" si="2">E52/(1+$C$54)^E43</f>
        <v>3149.9924710282921</v>
      </c>
      <c r="F56" s="124">
        <f t="shared" si="2"/>
        <v>1075.9259729779421</v>
      </c>
      <c r="G56" s="123">
        <f>SUM(C56:F56)</f>
        <v>2.98985014524078E-8</v>
      </c>
    </row>
    <row r="58" spans="1:1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>
      <c r="B59" s="130" t="s">
        <v>77</v>
      </c>
    </row>
    <row r="60" spans="1:11">
      <c r="A60" s="131">
        <v>2</v>
      </c>
      <c r="B60" s="113" t="s">
        <v>70</v>
      </c>
      <c r="C60" s="124">
        <v>-1000</v>
      </c>
      <c r="D60" s="124">
        <v>800</v>
      </c>
      <c r="E60" s="124">
        <v>150</v>
      </c>
      <c r="F60" s="124">
        <v>150</v>
      </c>
      <c r="G60" s="124">
        <v>150</v>
      </c>
      <c r="H60" s="124">
        <v>150</v>
      </c>
      <c r="I60" s="124">
        <v>-150</v>
      </c>
    </row>
    <row r="61" spans="1:11">
      <c r="A61" t="s">
        <v>76</v>
      </c>
    </row>
    <row r="62" spans="1:11">
      <c r="A62" s="128">
        <v>0.15238199999999999</v>
      </c>
      <c r="B62" s="113" t="s">
        <v>71</v>
      </c>
      <c r="C62" s="114">
        <f>IF($A$60=1,A62,IF($A$60=2,A63,""))</f>
        <v>-0.5</v>
      </c>
    </row>
    <row r="63" spans="1:11">
      <c r="A63" s="129">
        <v>-0.5</v>
      </c>
    </row>
    <row r="64" spans="1:11">
      <c r="B64" s="113" t="s">
        <v>73</v>
      </c>
      <c r="C64" s="124">
        <f>C60</f>
        <v>-1000</v>
      </c>
      <c r="D64" s="124">
        <f>D60/(1+$C$62)^D43</f>
        <v>1600</v>
      </c>
      <c r="E64" s="124">
        <f t="shared" ref="E64:I64" si="3">E60/(1+$C$62)^E43</f>
        <v>600</v>
      </c>
      <c r="F64" s="124">
        <f t="shared" si="3"/>
        <v>1200</v>
      </c>
      <c r="G64" s="124">
        <f t="shared" si="3"/>
        <v>2400</v>
      </c>
      <c r="H64" s="124">
        <f t="shared" si="3"/>
        <v>4800</v>
      </c>
      <c r="I64" s="124">
        <f t="shared" si="3"/>
        <v>-9600</v>
      </c>
      <c r="K64" s="126">
        <f>SUM(C64:I64)</f>
        <v>0</v>
      </c>
    </row>
    <row r="68" spans="4:4">
      <c r="D68" s="132"/>
    </row>
  </sheetData>
  <mergeCells count="2">
    <mergeCell ref="H50:I50"/>
    <mergeCell ref="B32:E3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Capitalizzazione</vt:lpstr>
      <vt:lpstr>Val Attuale</vt:lpstr>
      <vt:lpstr>Tassi</vt:lpstr>
      <vt:lpstr>Obbligazioni e Azioni</vt:lpstr>
      <vt:lpstr>VAN-TIR et al.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Piras</dc:creator>
  <cp:lastModifiedBy>Microsoft Office User</cp:lastModifiedBy>
  <dcterms:created xsi:type="dcterms:W3CDTF">2018-03-26T15:27:08Z</dcterms:created>
  <dcterms:modified xsi:type="dcterms:W3CDTF">2020-07-16T18:07:22Z</dcterms:modified>
</cp:coreProperties>
</file>