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activeTab="2"/>
  </bookViews>
  <sheets>
    <sheet name="Esercizi 1-4" sheetId="1" r:id="rId1"/>
    <sheet name="Esercizi 5-9" sheetId="2" r:id="rId2"/>
    <sheet name="Esercizi 10-15" sheetId="3" r:id="rId3"/>
    <sheet name="Esercizi 16-22" sheetId="4" r:id="rId4"/>
    <sheet name="Esercizi 23-32" sheetId="5" r:id="rId5"/>
    <sheet name="Esercizi 33-37" sheetId="6" r:id="rId6"/>
    <sheet name="Esercizi 38-42" sheetId="7" r:id="rId7"/>
    <sheet name="Esercizi 43-46" sheetId="8" r:id="rId8"/>
    <sheet name="Esercizi 47-52" sheetId="9" r:id="rId9"/>
    <sheet name="Esercizi 53-58" sheetId="10" r:id="rId10"/>
  </sheets>
  <definedNames>
    <definedName name="_xlnm.Print_Area" localSheetId="2">'Esercizi 10-15'!$A$1:$J$324</definedName>
    <definedName name="_xlnm.Print_Area" localSheetId="0">'Esercizi 1-4'!$A$1:$I$111</definedName>
    <definedName name="_xlnm.Print_Area" localSheetId="3">'Esercizi 16-22'!$A$1:$M$575</definedName>
    <definedName name="_xlnm.Print_Area" localSheetId="4">'Esercizi 23-32'!$A$1:$K$734</definedName>
    <definedName name="_xlnm.Print_Area" localSheetId="1">'Esercizi 5-9'!$A$1:$J$503</definedName>
    <definedName name="solver_adj" localSheetId="7" hidden="1">'Esercizi 43-46'!$C$290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opt" localSheetId="7" hidden="1">'Esercizi 43-46'!$C$289</definedName>
    <definedName name="solver_pre" localSheetId="7" hidden="1">0.000001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<sst xmlns="http://schemas.openxmlformats.org/spreadsheetml/2006/main" count="5480" uniqueCount="2679">
  <si>
    <t xml:space="preserve">In questa raccolta si usa la funzione di Excel "Ricerca obiettivo" la quale richiede di spostare tutti i termini dell'equazione a  </t>
  </si>
  <si>
    <r>
      <t xml:space="preserve">primo membro. "Ricerca obiettivo" viene richiamata dal menù </t>
    </r>
    <r>
      <rPr>
        <u val="single"/>
        <sz val="10"/>
        <rFont val="Times New Roman"/>
        <family val="1"/>
      </rPr>
      <t>S</t>
    </r>
    <r>
      <rPr>
        <sz val="10"/>
        <rFont val="Times New Roman"/>
        <family val="1"/>
      </rPr>
      <t>trumenti.</t>
    </r>
  </si>
  <si>
    <r>
      <t>Poi, una volta determinati questi è immediato risalire al livello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tramite l'equazione del moto scritta all'inizio.</t>
    </r>
  </si>
  <si>
    <t xml:space="preserve">● perdita di carico distribuita nella condotta con </t>
  </si>
  <si>
    <r>
      <t xml:space="preserve">   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</si>
  <si>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>J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=  </t>
    </r>
  </si>
  <si>
    <r>
      <t>J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 xml:space="preserve">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=  </t>
    </r>
  </si>
  <si>
    <t>=</t>
  </si>
  <si>
    <r>
      <t xml:space="preserve">● perdita concentrata allo sbocco (posto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= 1):</t>
    </r>
  </si>
  <si>
    <t>● perdita di carico distribuita nella condotta con diametro</t>
  </si>
  <si>
    <r>
      <t xml:space="preserve">    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(usando l'indice di resistenza ricavato con la formula</t>
    </r>
  </si>
  <si>
    <t xml:space="preserve">    di Colebrook-White):</t>
  </si>
  <si>
    <t xml:space="preserve">    di Blasius):</t>
  </si>
  <si>
    <r>
      <t xml:space="preserve">         a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 </t>
    </r>
  </si>
  <si>
    <t>Il risultato finale è:</t>
  </si>
  <si>
    <r>
      <t xml:space="preserve">             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 xml:space="preserve">2 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=  </t>
    </r>
  </si>
  <si>
    <r>
      <t xml:space="preserve">(usando l'indice di resistenza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ricavato con la formula  di Colebrook-White):</t>
    </r>
  </si>
  <si>
    <r>
      <t xml:space="preserve">(usando l'indice di resistenza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ricavato con la formula  di Blasius):</t>
    </r>
  </si>
  <si>
    <t>Con uno scarto percentuale tra le due soluzioni pari a:</t>
  </si>
  <si>
    <r>
      <t xml:space="preserve">Determinare </t>
    </r>
    <r>
      <rPr>
        <sz val="10"/>
        <rFont val="Times New Roman"/>
        <family val="1"/>
      </rPr>
      <t xml:space="preserve">le portate effluenti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e Q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, circolante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ed il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 nel serbatoio di monte.</t>
    </r>
  </si>
  <si>
    <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la</t>
    </r>
    <r>
      <rPr>
        <i/>
        <sz val="10"/>
        <rFont val="Times New Roman"/>
        <family val="1"/>
      </rPr>
      <t xml:space="preserve"> L.P.</t>
    </r>
  </si>
  <si>
    <r>
      <t xml:space="preserve">pressione presente all'interfaccia (punto </t>
    </r>
    <r>
      <rPr>
        <b/>
        <sz val="10"/>
        <color indexed="12"/>
        <rFont val="Times New Roman"/>
        <family val="1"/>
      </rPr>
      <t>M</t>
    </r>
    <r>
      <rPr>
        <i/>
        <sz val="10"/>
        <color indexed="12"/>
        <rFont val="Times New Roman"/>
        <family val="1"/>
      </rPr>
      <t xml:space="preserve">) tra liquido di peso specifico </t>
    </r>
    <r>
      <rPr>
        <i/>
        <sz val="10"/>
        <color indexed="12"/>
        <rFont val="Symbol"/>
        <family val="1"/>
      </rPr>
      <t>g</t>
    </r>
    <r>
      <rPr>
        <i/>
        <sz val="6"/>
        <color indexed="12"/>
        <rFont val="Times New Roman"/>
        <family val="1"/>
      </rPr>
      <t>1</t>
    </r>
    <r>
      <rPr>
        <i/>
        <sz val="10"/>
        <color indexed="12"/>
        <rFont val="Times New Roman"/>
        <family val="1"/>
      </rPr>
      <t xml:space="preserve"> ed areiforme.</t>
    </r>
  </si>
  <si>
    <r>
      <t xml:space="preserve">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)/(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) =  </t>
    </r>
  </si>
  <si>
    <r>
      <t xml:space="preserve">Ricordando la formula di </t>
    </r>
    <r>
      <rPr>
        <i/>
        <sz val="10"/>
        <rFont val="Times New Roman"/>
        <family val="1"/>
      </rPr>
      <t>Darcy-Weisbach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</t>
    </r>
    <r>
      <rPr>
        <i/>
        <sz val="10"/>
        <rFont val="Times New Roman"/>
        <family val="1"/>
      </rPr>
      <t>g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), è possibile risolvere rispetto 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nel seguente modo:</t>
    </r>
  </si>
  <si>
    <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*2*g*J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/Q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2</t>
    </r>
  </si>
  <si>
    <t>la cui radice è:</t>
  </si>
  <si>
    <r>
      <t>radq(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*radq(2*g*J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2)</t>
    </r>
    <r>
      <rPr>
        <sz val="10"/>
        <rFont val="Times New Roman"/>
        <family val="1"/>
      </rPr>
      <t>/Qa</t>
    </r>
  </si>
  <si>
    <r>
      <t xml:space="preserve">Ora, visto che il </t>
    </r>
    <r>
      <rPr>
        <i/>
        <sz val="10"/>
        <rFont val="Times New Roman"/>
        <family val="1"/>
      </rPr>
      <t>numero di Reynolds</t>
    </r>
    <r>
      <rPr>
        <sz val="10"/>
        <rFont val="Times New Roman"/>
        <family val="1"/>
      </rPr>
      <t xml:space="preserve"> può essere scritto come </t>
    </r>
    <r>
      <rPr>
        <i/>
        <sz val="10"/>
        <rFont val="Times New Roman"/>
        <family val="1"/>
      </rPr>
      <t>Re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/(</t>
    </r>
    <r>
      <rPr>
        <i/>
        <sz val="10"/>
        <rFont val="Symbol"/>
        <family val="1"/>
      </rPr>
      <t>n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), il prodotto tra </t>
    </r>
    <r>
      <rPr>
        <i/>
        <sz val="10"/>
        <rFont val="Times New Roman"/>
        <family val="1"/>
      </rPr>
      <t>radq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) e </t>
    </r>
    <r>
      <rPr>
        <i/>
        <sz val="10"/>
        <rFont val="Times New Roman"/>
        <family val="1"/>
      </rPr>
      <t>Re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risulta</t>
    </r>
  </si>
  <si>
    <r>
      <t xml:space="preserve">indipendente dal valore della portata della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. Questo consente di risolvere in forma esplicita l'equazione di </t>
    </r>
    <r>
      <rPr>
        <i/>
        <sz val="10"/>
        <rFont val="Times New Roman"/>
        <family val="1"/>
      </rPr>
      <t>Colebrook</t>
    </r>
  </si>
  <si>
    <r>
      <t xml:space="preserve">-White </t>
    </r>
    <r>
      <rPr>
        <sz val="10"/>
        <rFont val="Times New Roman"/>
        <family val="1"/>
      </rPr>
      <t>1/</t>
    </r>
    <r>
      <rPr>
        <i/>
        <sz val="10"/>
        <rFont val="Times New Roman"/>
        <family val="1"/>
      </rPr>
      <t>radq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) ={-2*</t>
    </r>
    <r>
      <rPr>
        <i/>
        <sz val="10"/>
        <rFont val="Times New Roman"/>
        <family val="1"/>
      </rPr>
      <t>log</t>
    </r>
    <r>
      <rPr>
        <i/>
        <sz val="6"/>
        <rFont val="Times New Roman"/>
        <family val="1"/>
      </rPr>
      <t>10</t>
    </r>
    <r>
      <rPr>
        <sz val="10"/>
        <rFont val="Times New Roman"/>
        <family val="1"/>
      </rPr>
      <t>[2,51/(</t>
    </r>
    <r>
      <rPr>
        <i/>
        <sz val="10"/>
        <rFont val="Times New Roman"/>
        <family val="1"/>
      </rPr>
      <t>Re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radq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))+(</t>
    </r>
    <r>
      <rPr>
        <i/>
        <sz val="10"/>
        <rFont val="Symbol"/>
        <family val="1"/>
      </rPr>
      <t>e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)</t>
    </r>
    <r>
      <rPr>
        <sz val="10"/>
        <rFont val="Times New Roman"/>
        <family val="1"/>
      </rPr>
      <t>/3,71]}.</t>
    </r>
  </si>
  <si>
    <r>
      <t xml:space="preserve">           radq(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*radq(2*g*J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</si>
  <si>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   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[2,51/(Re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))+(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)/3,71]}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</si>
  <si>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 xml:space="preserve">Ne consegue, sempre per la legge di </t>
    </r>
    <r>
      <rPr>
        <i/>
        <sz val="10"/>
        <rFont val="Times New Roman"/>
        <family val="1"/>
      </rPr>
      <t>Darcy-Weisbach</t>
    </r>
    <r>
      <rPr>
        <sz val="10"/>
        <rFont val="Times New Roman"/>
        <family val="1"/>
      </rPr>
      <t>, la seguente portata:</t>
    </r>
  </si>
  <si>
    <r>
      <t>m</t>
    </r>
    <r>
      <rPr>
        <vertAlign val="superscript"/>
        <sz val="10"/>
        <color indexed="63"/>
        <rFont val="Times New Roman"/>
        <family val="1"/>
      </rPr>
      <t>2</t>
    </r>
  </si>
  <si>
    <r>
      <t xml:space="preserve">                             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*radq(2*g*J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</si>
  <si>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m</t>
    </r>
    <r>
      <rPr>
        <vertAlign val="superscript"/>
        <sz val="10"/>
        <color indexed="63"/>
        <rFont val="Times New Roman"/>
        <family val="1"/>
      </rPr>
      <t>3</t>
    </r>
    <r>
      <rPr>
        <sz val="10"/>
        <color indexed="63"/>
        <rFont val="Times New Roman"/>
        <family val="1"/>
      </rPr>
      <t>/s</t>
    </r>
  </si>
  <si>
    <r>
      <t xml:space="preserve">Ora, essendo nota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diventa anche possibile ricavare il </t>
    </r>
    <r>
      <rPr>
        <i/>
        <sz val="10"/>
        <rFont val="Times New Roman"/>
        <family val="1"/>
      </rPr>
      <t>numero di Reynolds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Re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 per conoscere in quale regime di moto si trova</t>
    </r>
  </si>
  <si>
    <r>
      <t xml:space="preserve">la condotta </t>
    </r>
    <r>
      <rPr>
        <sz val="10"/>
        <rFont val="Times New Roman"/>
        <family val="1"/>
      </rPr>
      <t>( )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.</t>
    </r>
  </si>
  <si>
    <r>
      <t>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</si>
  <si>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Il regime è puramente turbolento (</t>
    </r>
    <r>
      <rPr>
        <i/>
        <sz val="10"/>
        <rFont val="Times New Roman"/>
        <family val="1"/>
      </rPr>
      <t>RAT</t>
    </r>
    <r>
      <rPr>
        <sz val="10"/>
        <rFont val="Times New Roman"/>
        <family val="1"/>
      </rPr>
      <t>).</t>
    </r>
  </si>
  <si>
    <r>
      <t xml:space="preserve">In primo luogo occorre determinare il </t>
    </r>
    <r>
      <rPr>
        <i/>
        <sz val="10"/>
        <rFont val="Times New Roman"/>
        <family val="1"/>
      </rPr>
      <t>P.C.I.</t>
    </r>
    <r>
      <rPr>
        <sz val="10"/>
        <rFont val="Times New Roman"/>
        <family val="1"/>
      </rPr>
      <t xml:space="preserve"> del serbatoio centrale.</t>
    </r>
  </si>
  <si>
    <r>
      <t>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+n/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</si>
  <si>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Equazione del moto per una corrente che "va" dal serbatoio di monte allo sbocco; incognite: Z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>, J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</si>
  <si>
    <r>
      <t>e J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(oppure, Z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Symbol"/>
        <family val="1"/>
      </rPr>
      <t>1</t>
    </r>
    <r>
      <rPr>
        <i/>
        <sz val="10"/>
        <rFont val="Symbol"/>
        <family val="1"/>
      </rPr>
      <t>, l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: è la stessa cosa).</t>
    </r>
  </si>
  <si>
    <r>
      <t xml:space="preserve">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</si>
  <si>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</si>
  <si>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</si>
  <si>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</si>
  <si>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Vengono calcolati i </t>
    </r>
    <r>
      <rPr>
        <i/>
        <sz val="10"/>
        <rFont val="Times New Roman"/>
        <family val="1"/>
      </rPr>
      <t xml:space="preserve">numeri di Reynolds </t>
    </r>
    <r>
      <rPr>
        <sz val="10"/>
        <rFont val="Times New Roman"/>
        <family val="1"/>
      </rPr>
      <t xml:space="preserve">e le scabrezze relative, serviranno per ricavare i </t>
    </r>
    <r>
      <rPr>
        <i/>
        <sz val="10"/>
        <rFont val="Times New Roman"/>
        <family val="1"/>
      </rPr>
      <t>coefficienti di resistenza</t>
    </r>
  </si>
  <si>
    <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analititicamente o, per via grafica, mediante l'</t>
    </r>
    <r>
      <rPr>
        <i/>
        <sz val="10"/>
        <rFont val="Times New Roman"/>
        <family val="1"/>
      </rPr>
      <t>abaco di Moody.</t>
    </r>
  </si>
  <si>
    <r>
      <t xml:space="preserve">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=</t>
    </r>
  </si>
  <si>
    <r>
      <t xml:space="preserve">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=</t>
    </r>
  </si>
  <si>
    <r>
      <t xml:space="preserve">                            e</t>
    </r>
    <r>
      <rPr>
        <sz val="6"/>
        <rFont val="Symbol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</si>
  <si>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RTT/RAT</t>
  </si>
  <si>
    <r>
      <t xml:space="preserve">                           e</t>
    </r>
    <r>
      <rPr>
        <sz val="6"/>
        <rFont val="Symbol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</si>
  <si>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RAT</t>
  </si>
  <si>
    <r>
      <t>Le formule per determinare 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 1, 2),  nel caso di tubi scabri, sono le seguenti:</t>
    </r>
  </si>
  <si>
    <t>Tubi scabri - formula di Cozzo</t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</si>
  <si>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{5,8/(Re</t>
    </r>
    <r>
      <rPr>
        <b/>
        <vertAlign val="superscript"/>
        <sz val="10"/>
        <rFont val="Times New Roman"/>
        <family val="1"/>
      </rPr>
      <t>0,9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/D)/3,71}</t>
    </r>
  </si>
  <si>
    <r>
      <t>4000 &lt; Re &lt; 10</t>
    </r>
    <r>
      <rPr>
        <b/>
        <vertAlign val="superscript"/>
        <sz val="10"/>
        <rFont val="Times New Roman"/>
        <family val="1"/>
      </rPr>
      <t>7</t>
    </r>
  </si>
  <si>
    <r>
      <t>l</t>
    </r>
    <r>
      <rPr>
        <b/>
        <sz val="10"/>
        <rFont val="Arial"/>
        <family val="0"/>
      </rPr>
      <t xml:space="preserve"> </t>
    </r>
    <r>
      <rPr>
        <b/>
        <sz val="10"/>
        <rFont val="Times New Roman"/>
        <family val="1"/>
      </rPr>
      <t>= {-2*log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[5,8/(Re</t>
    </r>
    <r>
      <rPr>
        <b/>
        <vertAlign val="superscript"/>
        <sz val="10"/>
        <rFont val="Times New Roman"/>
        <family val="1"/>
      </rPr>
      <t>0,9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/D)/3,71]</t>
    </r>
    <r>
      <rPr>
        <b/>
        <vertAlign val="superscript"/>
        <sz val="10"/>
        <rFont val="Times New Roman"/>
        <family val="1"/>
      </rPr>
      <t>-2</t>
    </r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</si>
  <si>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imb</t>
    </r>
    <r>
      <rPr>
        <sz val="10"/>
        <rFont val="Times New Roman"/>
        <family val="1"/>
      </rPr>
      <t xml:space="preserve"> = 0,5*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</si>
  <si>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</si>
  <si>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Tubi scabri - formula di Colebrook-White</t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</si>
  <si>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{2,51/[Re*radq(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)]+(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/D)/3.71}</t>
    </r>
  </si>
  <si>
    <t xml:space="preserve">    Colebrook-White = 0</t>
  </si>
  <si>
    <r>
      <t xml:space="preserve">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imb</t>
    </r>
    <r>
      <rPr>
        <sz val="10"/>
        <rFont val="Times New Roman"/>
        <family val="1"/>
      </rPr>
      <t xml:space="preserve"> = 0,5*</t>
    </r>
    <r>
      <rPr>
        <sz val="10"/>
        <rFont val="Symbol"/>
        <family val="1"/>
      </rPr>
      <t>a</t>
    </r>
    <r>
      <rPr>
        <sz val="10"/>
        <rFont val="Arial"/>
        <family val="0"/>
      </rPr>
      <t>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</si>
  <si>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</si>
  <si>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Tubi scabri - formula di Prandtl-Von Kàrmàn</t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</si>
  <si>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/D)/3.71}</t>
    </r>
  </si>
  <si>
    <t>Ovvero:</t>
  </si>
  <si>
    <r>
      <t>l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= {-2*log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/D)/3.71}}</t>
    </r>
    <r>
      <rPr>
        <b/>
        <vertAlign val="superscript"/>
        <sz val="10"/>
        <rFont val="Times New Roman"/>
        <family val="1"/>
      </rPr>
      <t>-2</t>
    </r>
  </si>
  <si>
    <r>
      <t xml:space="preserve">pressione nel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>:</t>
    </r>
  </si>
  <si>
    <r>
      <t xml:space="preserve">affondamento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RR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della superficie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</t>
    </r>
  </si>
  <si>
    <r>
      <t>S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</t>
    </r>
  </si>
  <si>
    <r>
      <t xml:space="preserve">Vettorialmente, la spinta è orizzontale, diretta dal fluido verso la parete ed applicata un po' più in basso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, precisamente in </t>
    </r>
  </si>
  <si>
    <t>corrispondenza della retta passante per il baricentro della distribuzione di pressioni di cui la spinta è l'integrale (ovvero il risultante). Tale "punto</t>
  </si>
  <si>
    <r>
      <t xml:space="preserve">di applicazione" corrisponde all'intersezione tra 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 con la superficie premuta e, nella direzione ortogonale al piano del</t>
    </r>
  </si>
  <si>
    <r>
      <t xml:space="preserve">disegno, essa si colloca in posizione simmetrica rispetto alla superficie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. Si trova cioè sulla stessa verticale condotta per il </t>
    </r>
  </si>
  <si>
    <t>baricentro, alla distanza L/2 dai lati "lunghi" del recipiente.</t>
  </si>
  <si>
    <r>
      <t>Per superfici simmetriche, la posizione del cento di spinta è "a metà" della larghezza della parete premuta (</t>
    </r>
    <r>
      <rPr>
        <sz val="10"/>
        <rFont val="Symbol"/>
        <family val="1"/>
      </rPr>
      <t>h</t>
    </r>
    <r>
      <rPr>
        <sz val="10"/>
        <rFont val="Times New Roman"/>
        <family val="1"/>
      </rPr>
      <t xml:space="preserve"> = L/2 in questo esercizio) e ad una</t>
    </r>
  </si>
  <si>
    <r>
      <t xml:space="preserve">distanza </t>
    </r>
    <r>
      <rPr>
        <sz val="10"/>
        <rFont val="Symbol"/>
        <family val="1"/>
      </rPr>
      <t>x</t>
    </r>
    <r>
      <rPr>
        <sz val="10"/>
        <rFont val="Times New Roman"/>
        <family val="1"/>
      </rPr>
      <t xml:space="preserve"> che si misura a partire dalla </t>
    </r>
    <r>
      <rPr>
        <i/>
        <sz val="10"/>
        <rFont val="Times New Roman"/>
        <family val="1"/>
      </rPr>
      <t>retta di sponda</t>
    </r>
    <r>
      <rPr>
        <sz val="10"/>
        <rFont val="Times New Roman"/>
        <family val="1"/>
      </rPr>
      <t xml:space="preserve"> (intersezione del PCI del fluido premente con il piano che contiene la superficie premuta)</t>
    </r>
  </si>
  <si>
    <r>
      <t xml:space="preserve">lungo la linea di massima pendenza della parete premuta. Essa viene chiamata </t>
    </r>
    <r>
      <rPr>
        <i/>
        <sz val="10"/>
        <rFont val="Times New Roman"/>
        <family val="1"/>
      </rPr>
      <t>coordinata del centro di spinta</t>
    </r>
    <r>
      <rPr>
        <sz val="10"/>
        <rFont val="Times New Roman"/>
        <family val="1"/>
      </rPr>
      <t>(chiaramente anche h è una</t>
    </r>
  </si>
  <si>
    <t>coordinata del centro di spinta, questa volta secondo un asse parallelo alla retta di sponda).</t>
  </si>
  <si>
    <r>
      <t xml:space="preserve">Il calcolo di </t>
    </r>
    <r>
      <rPr>
        <sz val="10"/>
        <rFont val="Symbol"/>
        <family val="1"/>
      </rPr>
      <t>x</t>
    </r>
    <r>
      <rPr>
        <sz val="10"/>
        <rFont val="Times New Roman"/>
        <family val="1"/>
      </rPr>
      <t xml:space="preserve"> è piuttosto laborioso ma prevede sempre i "passi" di seguito riportati. </t>
    </r>
  </si>
  <si>
    <r>
      <t xml:space="preserve">controllo occupata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</si>
  <si>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della parte di parete piana costituita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</si>
  <si>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t xml:space="preserve">questa spinta è orizzontale, con il verso positivo di x, ed è </t>
  </si>
  <si>
    <r>
      <t>applicata nel centro di spinta, sulla verticale condotta per 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</si>
  <si>
    <t>ma più in basso.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</si>
  <si>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della parte di parete piana costituita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</si>
  <si>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>applicata nel centro di spinta, sulla verticale condotta per B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</t>
    </r>
  </si>
  <si>
    <r>
      <t xml:space="preserve">   S(1, 2)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G(1, 2) =</t>
    </r>
  </si>
  <si>
    <r>
      <t>La meccanica del sistema consiste nell'equilibrio alla traslazione orizzontale dello stantuffo con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. Ma perché mai detto stantuffo </t>
    </r>
  </si>
  <si>
    <r>
      <t xml:space="preserve">dovrebbe essere equilibrato a mezzo della forza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? Il motivo è da ricercarsi nel fatto che il fluido di peso specifico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esercita sulla superficie </t>
    </r>
  </si>
  <si>
    <r>
      <t xml:space="preserve">piana dello stantuffo che lambisce una forza orizzontale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dovuta alla distribuzione di pressioni all'interno del recipiente. Questa è a sua volta </t>
    </r>
  </si>
  <si>
    <r>
      <t>"condizionata" dalla penetrazione della "pallottola" di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spinta da un fluido di peso specifico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si trova in pressione. La</t>
    </r>
  </si>
  <si>
    <r>
      <t xml:space="preserve"> pressione di questo fluido è rilevata, alla quota</t>
    </r>
    <r>
      <rPr>
        <i/>
        <sz val="10"/>
        <rFont val="Times New Roman"/>
        <family val="1"/>
      </rPr>
      <t xml:space="preserve"> hn</t>
    </r>
    <r>
      <rPr>
        <sz val="10"/>
        <rFont val="Times New Roman"/>
        <family val="1"/>
      </rPr>
      <t xml:space="preserve"> sopra la direzione di scorrimento orizzontale, da un manometro metallico. </t>
    </r>
  </si>
  <si>
    <r>
      <t xml:space="preserve">Dunque, a partire dall'indicazione manometrica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è possibile risalire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quidi alla spinta orizzontale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esercitata sulla superficie </t>
    </r>
  </si>
  <si>
    <r>
      <t>piana della "pallottola". Questa spinta orizzontale viene equilibrata dalla componente orizzontale 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risultante della </t>
    </r>
  </si>
  <si>
    <t>distribuzione di pressioni intorno alla parte immersa della "pallottola".</t>
  </si>
  <si>
    <r>
      <t>Determinare</t>
    </r>
    <r>
      <rPr>
        <sz val="10"/>
        <rFont val="Times New Roman"/>
        <family val="1"/>
      </rPr>
      <t xml:space="preserve"> le componenti delle spinte sulle superfici curve prismatiche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, con il metodo dell'</t>
    </r>
    <r>
      <rPr>
        <i/>
        <sz val="10"/>
        <rFont val="Times New Roman"/>
        <family val="1"/>
      </rPr>
      <t>equilibrio globale</t>
    </r>
    <r>
      <rPr>
        <sz val="10"/>
        <rFont val="Times New Roman"/>
        <family val="1"/>
      </rPr>
      <t xml:space="preserve"> e con </t>
    </r>
  </si>
  <si>
    <r>
      <t>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(2) =</t>
    </r>
  </si>
  <si>
    <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(2) =</t>
    </r>
  </si>
  <si>
    <r>
      <t>I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(2) =</t>
    </r>
  </si>
  <si>
    <r>
      <t>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</si>
  <si>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</si>
  <si>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</si>
  <si>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</si>
  <si>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</si>
  <si>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4</t>
    </r>
  </si>
  <si>
    <t>Esercizio 1</t>
  </si>
  <si>
    <t>Noti:</t>
  </si>
  <si>
    <t>Soluzione</t>
  </si>
  <si>
    <t>Esercizio 2</t>
  </si>
  <si>
    <t>Esercizio 3</t>
  </si>
  <si>
    <t>Esercizio 4</t>
  </si>
  <si>
    <r>
      <t>Determinare</t>
    </r>
    <r>
      <rPr>
        <sz val="10"/>
        <rFont val="Times New Roman"/>
        <family val="1"/>
      </rPr>
      <t xml:space="preserve"> l'affindamento h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del punto E rispetto al P.C.I. del serbatoio S.</t>
    </r>
  </si>
  <si>
    <r>
      <t>Determinare</t>
    </r>
    <r>
      <rPr>
        <sz val="10"/>
        <rFont val="Times New Roman"/>
        <family val="1"/>
      </rPr>
      <t xml:space="preserve"> la spinta sulla superficie piana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e la posizione del corrispondente centro di spinta.</t>
    </r>
  </si>
  <si>
    <t>Esercizio 5</t>
  </si>
  <si>
    <t>L'equazione (scalare) da scrivere, preso positivo il verso di rotazione antiorario, è la seguente:</t>
  </si>
  <si>
    <r>
      <t>|</t>
    </r>
    <r>
      <rPr>
        <sz val="10"/>
        <rFont val="Times New Roman"/>
        <family val="1"/>
      </rPr>
      <t>S</t>
    </r>
    <r>
      <rPr>
        <sz val="6"/>
        <rFont val="Times New Roman"/>
        <family val="1"/>
      </rPr>
      <t>g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+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g-</t>
    </r>
    <r>
      <rPr>
        <sz val="10"/>
        <rFont val="Times New Roman"/>
        <family val="1"/>
      </rPr>
      <t xml:space="preserve"> - S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6"/>
        <rFont val="Times New Roman"/>
        <family val="1"/>
      </rPr>
      <t>+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</si>
  <si>
    <r>
      <t xml:space="preserve">      I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1/12 L h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</si>
  <si>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</si>
  <si>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M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</si>
  <si>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</si>
  <si>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</si>
  <si>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</si>
  <si>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premuta.</t>
  </si>
  <si>
    <t xml:space="preserve">pressione", misurata a partire dalla retta di sponda, lungo la linea di massima </t>
  </si>
  <si>
    <t>pendenza della superficie premuta.</t>
  </si>
  <si>
    <t>rispetto ad un asse baricentrale parallelo alla retta di sponda:</t>
  </si>
  <si>
    <r>
      <t>x</t>
    </r>
    <r>
      <rPr>
        <vertAlign val="superscript"/>
        <sz val="10"/>
        <rFont val="Times New Roman"/>
        <family val="1"/>
      </rPr>
      <t>+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I</t>
    </r>
    <r>
      <rPr>
        <vertAlign val="subscript"/>
        <sz val="10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</si>
  <si>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  x</t>
    </r>
    <r>
      <rPr>
        <vertAlign val="superscript"/>
        <sz val="10"/>
        <rFont val="Symbol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vertAlign val="superscript"/>
        <sz val="10"/>
        <rFont val="Symbol"/>
        <family val="1"/>
      </rPr>
      <t>+</t>
    </r>
    <r>
      <rPr>
        <sz val="6"/>
        <rFont val="Times New Roman"/>
        <family val="1"/>
      </rPr>
      <t xml:space="preserve">0 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</si>
  <si>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 xml:space="preserve">depressione", misurata a partire dalla retta di sponda, lungo la linea di massima </t>
  </si>
  <si>
    <r>
      <t>M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</si>
  <si>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M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</si>
  <si>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x</t>
    </r>
    <r>
      <rPr>
        <vertAlign val="superscript"/>
        <sz val="10"/>
        <rFont val="Times New Roman"/>
        <family val="1"/>
      </rPr>
      <t>-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I</t>
    </r>
    <r>
      <rPr>
        <vertAlign val="subscript"/>
        <sz val="10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</si>
  <si>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  x</t>
    </r>
    <r>
      <rPr>
        <vertAlign val="superscript"/>
        <sz val="10"/>
        <rFont val="Symbol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vertAlign val="superscript"/>
        <sz val="10"/>
        <rFont val="Symbol"/>
        <family val="1"/>
      </rPr>
      <t>-</t>
    </r>
    <r>
      <rPr>
        <sz val="6"/>
        <rFont val="Times New Roman"/>
        <family val="1"/>
      </rPr>
      <t xml:space="preserve">0 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</si>
  <si>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Ne conseguono i seguenti bracci::</t>
  </si>
  <si>
    <r>
      <t>S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</si>
  <si>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</si>
  <si>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</si>
  <si>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PQ</t>
    </r>
    <r>
      <rPr>
        <sz val="10"/>
        <rFont val="Times New Roman"/>
        <family val="1"/>
      </rPr>
      <t xml:space="preserve"> = S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- |S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>| - |S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| =</t>
    </r>
  </si>
  <si>
    <t>Ne conseguono i seguenti bracci:</t>
  </si>
  <si>
    <r>
      <t xml:space="preserve">        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h/2 - </t>
    </r>
    <r>
      <rPr>
        <sz val="10"/>
        <rFont val="Symbol"/>
        <family val="1"/>
      </rPr>
      <t>x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</si>
  <si>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il consueto</t>
    </r>
    <r>
      <rPr>
        <sz val="10"/>
        <rFont val="Times New Roman"/>
        <family val="1"/>
      </rPr>
      <t xml:space="preserve"> schema di iterazioni.</t>
    </r>
  </si>
  <si>
    <r>
      <t xml:space="preserve">Si comincia quindi con l'ipotizzare il moto puramente turbolento nelle condotte 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e D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 usando, per il calcolo </t>
    </r>
  </si>
  <si>
    <r>
      <t xml:space="preserve">degli </t>
    </r>
    <r>
      <rPr>
        <i/>
        <sz val="10"/>
        <rFont val="Times New Roman"/>
        <family val="1"/>
      </rPr>
      <t xml:space="preserve">indici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la formula di </t>
    </r>
    <r>
      <rPr>
        <i/>
        <sz val="10"/>
        <rFont val="Times New Roman"/>
        <family val="1"/>
      </rPr>
      <t>Prandtl - Von Kàrmàn.</t>
    </r>
  </si>
  <si>
    <r>
      <t xml:space="preserve">     1/radq(</t>
    </r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(0)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) = 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)/3,71]}</t>
    </r>
  </si>
  <si>
    <t>con k = 2, 3</t>
  </si>
  <si>
    <r>
      <t xml:space="preserve">     l</t>
    </r>
    <r>
      <rPr>
        <vertAlign val="superscript"/>
        <sz val="10"/>
        <rFont val="Symbol"/>
        <family val="1"/>
      </rPr>
      <t>(0)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)/3,71}}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</si>
  <si>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 xml:space="preserve">   l</t>
    </r>
    <r>
      <rPr>
        <vertAlign val="superscript"/>
        <sz val="10"/>
        <rFont val="Symbol"/>
        <family val="1"/>
      </rPr>
      <t>(0)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)/3,71}}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</si>
  <si>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t xml:space="preserve">con </t>
  </si>
  <si>
    <r>
      <t>e</t>
    </r>
    <r>
      <rPr>
        <sz val="6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</si>
  <si>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Arial"/>
        <family val="2"/>
      </rPr>
      <t>3</t>
    </r>
    <r>
      <rPr>
        <sz val="10"/>
        <rFont val="Arial"/>
        <family val="0"/>
      </rPr>
      <t>/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</si>
  <si>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Risolvendo l'equazione del moto rispetto 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 e sapendo che:</t>
    </r>
  </si>
  <si>
    <r>
      <t xml:space="preserve">              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</si>
  <si>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</si>
  <si>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si arriva alla seguente relazione:</t>
  </si>
  <si>
    <r>
      <t xml:space="preserve">       Q</t>
    </r>
    <r>
      <rPr>
        <vertAlign val="superscript"/>
        <sz val="10"/>
        <rFont val="Times New Roman"/>
        <family val="1"/>
      </rPr>
      <t>(I)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radq{(Z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)/[(</t>
    </r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(0)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)/(2*g*D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)+1/(2*g)*(1/A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(0)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)/(2*g*D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</t>
    </r>
  </si>
  <si>
    <r>
      <t xml:space="preserve">        </t>
    </r>
    <r>
      <rPr>
        <sz val="10"/>
        <color indexed="41"/>
        <rFont val="Times New Roman"/>
        <family val="1"/>
      </rPr>
      <t>'</t>
    </r>
    <r>
      <rPr>
        <sz val="10"/>
        <rFont val="Times New Roman"/>
        <family val="1"/>
      </rPr>
      <t>+1/(2*g*A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)]} =</t>
    </r>
  </si>
  <si>
    <r>
      <t xml:space="preserve">A questo punto bisogna verificare l'ipotesi di </t>
    </r>
    <r>
      <rPr>
        <i/>
        <sz val="10"/>
        <rFont val="Times New Roman"/>
        <family val="1"/>
      </rPr>
      <t>moto puramente turbolento</t>
    </r>
    <r>
      <rPr>
        <sz val="10"/>
        <rFont val="Times New Roman"/>
        <family val="1"/>
      </rPr>
      <t xml:space="preserve"> nelle condotte ( )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( )</t>
    </r>
    <r>
      <rPr>
        <sz val="6"/>
        <rFont val="Times New Roman"/>
        <family val="1"/>
      </rPr>
      <t>3</t>
    </r>
    <r>
      <rPr>
        <i/>
        <sz val="10"/>
        <rFont val="Times New Roman"/>
        <family val="1"/>
      </rPr>
      <t>.</t>
    </r>
  </si>
  <si>
    <r>
      <t>Re</t>
    </r>
    <r>
      <rPr>
        <vertAlign val="superscript"/>
        <sz val="10"/>
        <rFont val="Times New Roman"/>
        <family val="1"/>
      </rPr>
      <t>(I)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4*Q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/(D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) =</t>
    </r>
  </si>
  <si>
    <r>
      <t>Dall'esame dell'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 xml:space="preserve">, il regime risulta </t>
    </r>
    <r>
      <rPr>
        <i/>
        <sz val="10"/>
        <rFont val="Times New Roman"/>
        <family val="1"/>
      </rPr>
      <t>puramente turbolento</t>
    </r>
    <r>
      <rPr>
        <sz val="10"/>
        <rFont val="Times New Roman"/>
        <family val="1"/>
      </rPr>
      <t xml:space="preserve"> per entrambe le condotte. Dunque, viene </t>
    </r>
  </si>
  <si>
    <t>verso il basso, la spinta sarà anch'essa verticale ma "punterà" verso l'alto.</t>
  </si>
  <si>
    <r>
      <t xml:space="preserve">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, ora nota, dipende chiaramente dallo stato di sforzo interno al sistema (fluido) e questo, a sua volta, dipende dalla posizione del </t>
    </r>
  </si>
  <si>
    <r>
      <t xml:space="preserve">PCI che va quindi ricercata proprio tramite la "parentela" che intercorre con 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. Detta "parentela" sarà resa esplicita</t>
    </r>
  </si>
  <si>
    <r>
      <t xml:space="preserve">ricercando l'equilibrio statico di un volume di controllo di solo fluido che veda coinvolta 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</si>
  <si>
    <t>e altre forze che siano in qualche modo legate alla posizione del PCI, ad esempio tramite gli</t>
  </si>
  <si>
    <t>affondamenti dei baricentri di superfici piane;</t>
  </si>
  <si>
    <t xml:space="preserve">considerando che il peso del volume - idealmente occupato dal fluido - compreso tra la superficie </t>
  </si>
  <si>
    <r>
      <t xml:space="preserve">curva lambita e il PCI, corrisponde al modulo della componente verticale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; quindi se </t>
    </r>
  </si>
  <si>
    <t xml:space="preserve">questa è nota o facilmente calcolabile, diventa semplice risalire alle dimensioni di questo volume e </t>
  </si>
  <si>
    <t>quindi alla posizione del PCI.</t>
  </si>
  <si>
    <r>
      <t xml:space="preserve">Ma facciamo un passo alla volta. Consideriamo adesso </t>
    </r>
    <r>
      <rPr>
        <i/>
        <sz val="10"/>
        <rFont val="Times New Roman"/>
        <family val="1"/>
      </rPr>
      <t>l'equilibrio alla traslazione verticale del tappo</t>
    </r>
    <r>
      <rPr>
        <sz val="10"/>
        <rFont val="Times New Roman"/>
        <family val="1"/>
      </rPr>
      <t xml:space="preserve"> e deduciamo da esso le </t>
    </r>
  </si>
  <si>
    <r>
      <t xml:space="preserve">caratteristiche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che lo sorregge senza che esso scarichi parte del suo peso sui bordi solidi (che, ricordiamo, sfiora soltanto).</t>
    </r>
  </si>
  <si>
    <r>
      <t xml:space="preserve">Dunque, essendo il peso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un vettore verticale dietto verso il basso con retta d'azione coincidente con l'asse di simmetria del tappo conico, </t>
    </r>
  </si>
  <si>
    <r>
      <t xml:space="preserve">risulta che 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è anch'essa verticale, con medesima retta d'azione ma è diretta verso l'alto.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, naturalmente, è la risultante della </t>
    </r>
  </si>
  <si>
    <r>
      <t xml:space="preserve">distribuzione di pressioni che agiscono sulla parte di tappo lambita dal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Comunque, a seguito della simmetria è facila capire che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non</t>
    </r>
  </si>
  <si>
    <t xml:space="preserve">potrebbe mai avere componenti orizzontali poiché le componenti orizzontali delle pressioni applicate sulla suddetta superficie curva, che si </t>
  </si>
  <si>
    <t xml:space="preserve">trovano, a parità di quota, diametralmente opposte, hanno lo stesso modulo, la stessa direzione, ma verso opposto e quindi si autoelidono e </t>
  </si>
  <si>
    <t>il perché, anche senza ragionare sull'equilibrio del tappo, S può avere solo componente verticale.</t>
  </si>
  <si>
    <r>
      <t xml:space="preserve">questo avviene su tutta la superficie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 Le componenti delle pressioniche non si elidono sono invece quelle verticali e questo spiega</t>
    </r>
  </si>
  <si>
    <r>
      <t xml:space="preserve">Ora si può cercare quel legame di "parentela" tra il PCI e 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appena calcolata. Questo legame viene individuato nell'equilibrio globale </t>
    </r>
  </si>
  <si>
    <r>
      <t xml:space="preserve">della parte di cono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, immaginata riempito con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stesso. In tal caso infatti, sulla superficie curva di questo volume agisce 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</si>
  <si>
    <r>
      <t xml:space="preserve">che è già nota, c'è una forza di massa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corrispondente al peso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che riempie il volume, che è facilmente calcolabile, ma soprattutto </t>
    </r>
  </si>
  <si>
    <r>
      <t xml:space="preserve">agisce una forza di superficie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sull'area piana costituente la base del cono alto 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 xml:space="preserve">, costitiuto dal solo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Detta spinta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ha </t>
    </r>
  </si>
  <si>
    <r>
      <t>modulo dipendente dalla pressione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dell' area piana premuta e questa pressione dipende dall'affondamento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di detto</t>
    </r>
  </si>
  <si>
    <r>
      <t xml:space="preserve">affondamento, rivelando la posizione del PCI, grazie alla quale sarà facile dedurre l'indicazione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del manometro metallico.</t>
    </r>
  </si>
  <si>
    <r>
      <t xml:space="preserve">Calcolo del diametro D(h) della superficie piana del volume di controllo (cono alto 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riempito con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).</t>
    </r>
  </si>
  <si>
    <t xml:space="preserve">baricentro rispetto al PCI. Dunque l'equilibrio globale applicato a questo volume di controllo ha la funzione di individuare il valore di questo </t>
  </si>
  <si>
    <r>
      <t xml:space="preserve">Il vettore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è verticale, diretto verso il basso, con retta d'azione </t>
    </r>
  </si>
  <si>
    <t>coincidente con l'asse del cono.</t>
  </si>
  <si>
    <r>
      <t xml:space="preserve">Ora, poiché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sono verticali, anche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ovviamente dovrà esserlo e quindi, passando ad una più semplice notazione scalare, si può </t>
    </r>
  </si>
  <si>
    <t>scrivere:</t>
  </si>
  <si>
    <t xml:space="preserve">           D(h) = D/H h =</t>
  </si>
  <si>
    <r>
      <t xml:space="preserve">A questo punto è facile calcolare il peso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 volume di controllo partendo dal suo volume.</t>
    </r>
  </si>
  <si>
    <r>
      <t xml:space="preserve">dalla quale si evince il modulo di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. In particolare, il segno positivo </t>
    </r>
  </si>
  <si>
    <t xml:space="preserve">che la sua retta d'azione è la stessa degli altri due vettori. Quindi, essa </t>
  </si>
  <si>
    <t>controllo.</t>
  </si>
  <si>
    <r>
      <t xml:space="preserve">indica che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diretta verso il basso. Per completezza si può anche dire</t>
    </r>
  </si>
  <si>
    <r>
      <t xml:space="preserve">passa per il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dell'area piana dichiusura del volume di</t>
    </r>
  </si>
  <si>
    <r>
      <t xml:space="preserve">al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, che è proprio l'informazione che stavamo cercando. Dunque:</t>
    </r>
  </si>
  <si>
    <r>
      <t xml:space="preserve">e quindi eguagliando il modulo noto di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con la sua "definizione", l'unica incognita risulta proprio l'affondamento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rispetto</t>
    </r>
  </si>
  <si>
    <t xml:space="preserve">Quanto detto a proposito dell'equilibrio alla traslazione del tappo solido vale sempre e comunque, a prescindere dal metodo con il quale si </t>
  </si>
  <si>
    <t xml:space="preserve">ricerca, poi, la quota del PCI. </t>
  </si>
  <si>
    <r>
      <t xml:space="preserve">              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B1 </t>
    </r>
    <r>
      <rPr>
        <sz val="10"/>
        <rFont val="Times New Roman"/>
        <family val="1"/>
      </rPr>
      <t>-L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*sen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</t>
    </r>
  </si>
  <si>
    <r>
      <t>E</t>
    </r>
    <r>
      <rPr>
        <i/>
        <u val="single"/>
        <sz val="10"/>
        <rFont val="Times New Roman"/>
        <family val="1"/>
      </rPr>
      <t>quilibrio alla traslazione verticale del tappo</t>
    </r>
  </si>
  <si>
    <t xml:space="preserve">            il che ovviamente significa:</t>
  </si>
  <si>
    <r>
      <t xml:space="preserve">Il modulo P del peso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è facilmente calcolabile come prodotto del suo volume W</t>
    </r>
    <r>
      <rPr>
        <sz val="6"/>
        <rFont val="Times New Roman"/>
        <family val="1"/>
      </rPr>
      <t>tappo</t>
    </r>
    <r>
      <rPr>
        <sz val="10"/>
        <rFont val="Times New Roman"/>
        <family val="1"/>
      </rPr>
      <t xml:space="preserve"> per il peso specifico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.</t>
    </r>
  </si>
  <si>
    <r>
      <t xml:space="preserve">                      W</t>
    </r>
    <r>
      <rPr>
        <sz val="6"/>
        <rFont val="Times New Roman"/>
        <family val="1"/>
      </rPr>
      <t>tappo</t>
    </r>
    <r>
      <rPr>
        <sz val="10"/>
        <rFont val="Times New Roman"/>
        <family val="1"/>
      </rPr>
      <t xml:space="preserve"> = 1/3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H =</t>
    </r>
  </si>
  <si>
    <r>
      <t xml:space="preserve">        P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tappo</t>
    </r>
    <r>
      <rPr>
        <sz val="10"/>
        <rFont val="Times New Roman"/>
        <family val="1"/>
      </rPr>
      <t xml:space="preserve"> =</t>
    </r>
  </si>
  <si>
    <r>
      <t xml:space="preserve">Ne consegue che il modulo di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sarè lo stesso:</t>
    </r>
  </si>
  <si>
    <r>
      <t xml:space="preserve">              S = 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P =</t>
    </r>
  </si>
  <si>
    <r>
      <t xml:space="preserve">G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S = 0</t>
    </r>
  </si>
  <si>
    <t xml:space="preserve">            D/H = D(h)/h</t>
  </si>
  <si>
    <t>dunque:</t>
  </si>
  <si>
    <r>
      <t xml:space="preserve">  W(h) = 1/3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h =</t>
    </r>
  </si>
  <si>
    <r>
      <t xml:space="preserve">            G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W(h) =</t>
    </r>
  </si>
  <si>
    <r>
      <t xml:space="preserve">La "definizione" del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però la seguente:</t>
    </r>
  </si>
  <si>
    <r>
      <t xml:space="preserve">                            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A(h)</t>
    </r>
  </si>
  <si>
    <t>dove:</t>
  </si>
  <si>
    <r>
      <t xml:space="preserve">      A(h)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</si>
  <si>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(S - G)/[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A(h)] =</t>
    </r>
  </si>
  <si>
    <r>
      <t xml:space="preserve">A questo punto è veramente molto facile risalire all'indicazione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restituita dal manometro metallico.</t>
    </r>
  </si>
  <si>
    <r>
      <t xml:space="preserve">   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+ n[Pa]/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B1</t>
    </r>
  </si>
  <si>
    <t>quindi:</t>
  </si>
  <si>
    <r>
      <t xml:space="preserve">           n[bar]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(h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-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)/10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</si>
  <si>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l'indicazione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registrata dal manometro metallico operando secondo il metodo dell'equilibrio globale e quello delle componenti. </t>
    </r>
  </si>
  <si>
    <r>
      <t xml:space="preserve">recipiente), ha una </t>
    </r>
    <r>
      <rPr>
        <i/>
        <sz val="10"/>
        <rFont val="Times New Roman"/>
        <family val="1"/>
      </rPr>
      <t>superficie di chiusura</t>
    </r>
    <r>
      <rPr>
        <sz val="10"/>
        <rFont val="Times New Roman"/>
        <family val="1"/>
      </rPr>
      <t xml:space="preserve"> costituita in parte da una superficie piana, che è "l'ideale" prosecuzione di quella verticale di destra</t>
    </r>
  </si>
  <si>
    <t>del recipiente, ed in parte da una superficie curva che ricalca esattamente la sagoma della calotta 1. L'equilibrio statico del volume di fluido</t>
  </si>
  <si>
    <r>
      <t xml:space="preserve">Ora, la forza di massa agente sul v. d. c. corrisponde al peso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 fluido in esso contenuto ed è calcolabile come prodotto del volume W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</si>
  <si>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r>
      <t xml:space="preserve">per il peso specifico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</t>
    </r>
  </si>
  <si>
    <r>
      <t xml:space="preserve">Per quel che riguarda la parete piana verticale, la forza di superficie applicata corrisponde ad una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il cui modulo è calcolabile </t>
    </r>
  </si>
  <si>
    <t>come "da definizione":</t>
  </si>
  <si>
    <r>
      <t xml:space="preserve">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A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+d-h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] =</t>
    </r>
  </si>
  <si>
    <r>
      <t>NB</t>
    </r>
    <r>
      <rPr>
        <sz val="10"/>
        <rFont val="Times New Roman"/>
        <family val="1"/>
      </rPr>
      <t xml:space="preserve">: attenzione all'utilizzo del </t>
    </r>
    <r>
      <rPr>
        <sz val="10"/>
        <color indexed="10"/>
        <rFont val="Times New Roman"/>
        <family val="1"/>
      </rPr>
      <t>segno meno</t>
    </r>
    <r>
      <rPr>
        <sz val="10"/>
        <rFont val="Times New Roman"/>
        <family val="1"/>
      </rPr>
      <t xml:space="preserve"> e del </t>
    </r>
    <r>
      <rPr>
        <sz val="10"/>
        <color indexed="10"/>
        <rFont val="Times New Roman"/>
        <family val="1"/>
      </rPr>
      <t>modulo</t>
    </r>
    <r>
      <rPr>
        <sz val="10"/>
        <rFont val="Times New Roman"/>
        <family val="1"/>
      </rPr>
      <t>.</t>
    </r>
  </si>
  <si>
    <r>
      <t xml:space="preserve">L'equilibrio statico del volume di controllo costituito dal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si esprime con l'equazione vettoriale:</t>
    </r>
  </si>
  <si>
    <r>
      <t xml:space="preserve">dalla quale, essendo noti i vettori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si evince che è nota (vettorialmente) anche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con le seguenti componenti</t>
    </r>
  </si>
  <si>
    <r>
      <t>S</t>
    </r>
    <r>
      <rPr>
        <sz val="6"/>
        <rFont val="Times New Roman"/>
        <family val="1"/>
      </rPr>
      <t>1 x</t>
    </r>
    <r>
      <rPr>
        <sz val="10"/>
        <rFont val="Times New Roman"/>
        <family val="1"/>
      </rPr>
      <t xml:space="preserve"> =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| =</t>
    </r>
  </si>
  <si>
    <t>ed il seguente modulo</t>
  </si>
  <si>
    <t>calotta.</t>
  </si>
  <si>
    <r>
      <t>NB</t>
    </r>
    <r>
      <rPr>
        <sz val="10"/>
        <rFont val="Times New Roman"/>
        <family val="1"/>
      </rPr>
      <t xml:space="preserve">: si noti che non è cambiato nulla rispetto all'esercizio 17 ove il sistema era </t>
    </r>
  </si>
  <si>
    <r>
      <t xml:space="preserve">concava con una superficie piana verticale, "ideale"  prosecuzione di quella di destra del recipiente. Il volume di solo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così "isolato" </t>
    </r>
  </si>
  <si>
    <t>va "immaginato"  sottoposto alle azioni di massa e a condizioni di pressione sul suo contorno determinate dal PCI individuato poco sopra.</t>
  </si>
  <si>
    <r>
      <t xml:space="preserve">In particolare, quindi, ci sarà una forza di massa corrisponde al peso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 fluido contenuto nel volume di controllo stesso, calcolabile  </t>
    </r>
  </si>
  <si>
    <r>
      <t>come prodotto del volume W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per il peso specifico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</t>
    </r>
  </si>
  <si>
    <r>
      <t xml:space="preserve">Si adotti un volume di controllo "fittizio" immaginando di riempire con il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lo spazio compreso all'interno della calotta 2 e "chiudendo</t>
    </r>
  </si>
  <si>
    <r>
      <t xml:space="preserve">Si consideri un volume di controllo pieno di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avente forna e dimensioni di fatto coincidenti a quelle del fluido contenuto nello spazio </t>
    </r>
  </si>
  <si>
    <r>
      <t xml:space="preserve">concavo racchiuso dalla superficie curva di traccia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 xml:space="preserve"> e da una superficie piana inclinata di 45° congiungente le tracce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. il fluido si trovi</t>
    </r>
  </si>
  <si>
    <r>
      <t xml:space="preserve">nella quale </t>
    </r>
    <r>
      <rPr>
        <b/>
        <sz val="10"/>
        <rFont val="Times New Roman"/>
        <family val="1"/>
      </rPr>
      <t>G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corrisponde al peso del volume di controllo,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è la spinta sulla superficie piana e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0g</t>
    </r>
    <r>
      <rPr>
        <sz val="10"/>
        <rFont val="Times New Roman"/>
        <family val="1"/>
      </rPr>
      <t xml:space="preserve"> quella sulla superficie curva. </t>
    </r>
  </si>
  <si>
    <r>
      <t xml:space="preserve">Quest'ultima risulta pari all'incognita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CD</t>
    </r>
    <r>
      <rPr>
        <sz val="10"/>
        <rFont val="Times New Roman"/>
        <family val="1"/>
      </rPr>
      <t xml:space="preserve"> cambiata di segno, ovvero:</t>
    </r>
  </si>
  <si>
    <t xml:space="preserve">questa spinta è inclinata di 45°, è "uscente" rispetto alla </t>
  </si>
  <si>
    <t>superficie piana premuta ed è applicata nel centro di spinta,</t>
  </si>
  <si>
    <r>
      <t xml:space="preserve">nel piano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 xml:space="preserve"> allineato con il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, ma un po' più in alto rispetto</t>
    </r>
  </si>
  <si>
    <r>
      <t xml:space="preserve">ad esso; il segno meno indica che si tratta una </t>
    </r>
    <r>
      <rPr>
        <i/>
        <sz val="10"/>
        <rFont val="Times New Roman"/>
        <family val="1"/>
      </rPr>
      <t xml:space="preserve">trazione </t>
    </r>
  </si>
  <si>
    <r>
      <t>relativa</t>
    </r>
    <r>
      <rPr>
        <sz val="10"/>
        <rFont val="Times New Roman"/>
        <family val="1"/>
      </rPr>
      <t>.</t>
    </r>
  </si>
  <si>
    <t xml:space="preserve">              (il segno positivo indica che questa componente è diretta verso</t>
  </si>
  <si>
    <t xml:space="preserve">                l'alto).</t>
  </si>
  <si>
    <t>una trazione relativa).</t>
  </si>
  <si>
    <t xml:space="preserve">verticali delle pressioni hanno verso concorde all'asse z. Esso va </t>
  </si>
  <si>
    <t xml:space="preserve">considerato "diretto verso l'alto", come le componenti suddette, con </t>
  </si>
  <si>
    <r>
      <t>W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B2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DL+1/4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/4L</t>
    </r>
    <r>
      <rPr>
        <sz val="9"/>
        <rFont val="Times New Roman"/>
        <family val="1"/>
      </rPr>
      <t xml:space="preserve"> =</t>
    </r>
  </si>
  <si>
    <t xml:space="preserve">verticali delle pressioni hanno lo stesso verso dell'asse z. Esso va </t>
  </si>
  <si>
    <r>
      <t>W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B2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DL-1/4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/4L</t>
    </r>
    <r>
      <rPr>
        <sz val="9"/>
        <rFont val="Times New Roman"/>
        <family val="1"/>
      </rPr>
      <t xml:space="preserve"> =</t>
    </r>
  </si>
  <si>
    <r>
      <t xml:space="preserve">      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>-P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=</t>
    </r>
  </si>
  <si>
    <t>a partire dalla retta di sponda, lungo la linea di massima pendenza della superficie</t>
  </si>
  <si>
    <r>
      <t xml:space="preserve">a quella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a sinistra</t>
    </r>
    <r>
      <rPr>
        <sz val="10"/>
        <rFont val="Times New Roman"/>
        <family val="1"/>
      </rPr>
      <t xml:space="preserve">. In altre parole, questa parte di superficie alta 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è globalmente scarica.</t>
    </r>
  </si>
  <si>
    <r>
      <t xml:space="preserve">una spinta dovuta al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dipende dalla quota dello stesso PCI. Questo significa che l'azione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a destra</t>
    </r>
    <r>
      <rPr>
        <sz val="10"/>
        <rFont val="Times New Roman"/>
        <family val="1"/>
      </rPr>
      <t xml:space="preserve"> sarà identica</t>
    </r>
  </si>
  <si>
    <t>gas, il calcolo del modulo del risultante risulta immediato tramite la seguente equazione scalare:</t>
  </si>
  <si>
    <r>
      <t xml:space="preserve">I vettori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sono orizzontali, il primo diretto verso </t>
    </r>
    <r>
      <rPr>
        <i/>
        <sz val="10"/>
        <rFont val="Times New Roman"/>
        <family val="1"/>
      </rPr>
      <t>destra</t>
    </r>
    <r>
      <rPr>
        <sz val="10"/>
        <rFont val="Times New Roman"/>
        <family val="1"/>
      </rPr>
      <t xml:space="preserve"> ed il secondo verso </t>
    </r>
    <r>
      <rPr>
        <i/>
        <sz val="10"/>
        <rFont val="Times New Roman"/>
        <family val="1"/>
      </rPr>
      <t>sinistra</t>
    </r>
    <r>
      <rPr>
        <sz val="10"/>
        <rFont val="Times New Roman"/>
        <family val="1"/>
      </rPr>
      <t xml:space="preserve">. Essendo orizzontale anche 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del </t>
    </r>
  </si>
  <si>
    <r>
      <t>A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*D/2*cos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*D/2 =</t>
    </r>
  </si>
  <si>
    <r>
      <t xml:space="preserve">al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stesso:</t>
    </r>
  </si>
  <si>
    <r>
      <t xml:space="preserve">area premuta dal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:</t>
    </r>
  </si>
  <si>
    <r>
      <t>A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 L =</t>
    </r>
  </si>
  <si>
    <r>
      <t>S</t>
    </r>
    <r>
      <rPr>
        <b/>
        <sz val="6"/>
        <rFont val="Times New Roman"/>
        <family val="1"/>
      </rPr>
      <t>CD</t>
    </r>
    <r>
      <rPr>
        <b/>
        <sz val="10"/>
        <rFont val="Times New Roman"/>
        <family val="1"/>
      </rPr>
      <t xml:space="preserve"> =  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= G'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b/>
        <sz val="6"/>
        <rFont val="Symbol"/>
        <family val="1"/>
      </rPr>
      <t>g</t>
    </r>
  </si>
  <si>
    <r>
      <t xml:space="preserve">       W'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1/4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 =</t>
    </r>
  </si>
  <si>
    <r>
      <t xml:space="preserve">                 G'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W'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</si>
  <si>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Il vettore </t>
    </r>
    <r>
      <rPr>
        <b/>
        <sz val="10"/>
        <rFont val="Times New Roman"/>
        <family val="1"/>
      </rPr>
      <t>G'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verticale, diretto verso il basso, con retta d'azione passante per il baricentro del volume di controllo.</t>
    </r>
  </si>
  <si>
    <r>
      <t xml:space="preserve">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E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-h-R/2]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</si>
  <si>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2g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</si>
  <si>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2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</si>
  <si>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2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</si>
  <si>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p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</si>
  <si>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3g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</si>
  <si>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3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</si>
  <si>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3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</si>
  <si>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     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 R L =</t>
    </r>
  </si>
  <si>
    <r>
      <t xml:space="preserve">                   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 R L =</t>
    </r>
  </si>
  <si>
    <r>
      <t xml:space="preserve">              S</t>
    </r>
    <r>
      <rPr>
        <sz val="6"/>
        <rFont val="Times New Roman"/>
        <family val="1"/>
      </rPr>
      <t>CD x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2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| =</t>
    </r>
  </si>
  <si>
    <r>
      <t xml:space="preserve">              S</t>
    </r>
    <r>
      <rPr>
        <sz val="6"/>
        <rFont val="Times New Roman"/>
        <family val="1"/>
      </rPr>
      <t>CD z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3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| - G'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</si>
  <si>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Stesse componenti e stesso modulo (c. v. d.).</t>
  </si>
  <si>
    <r>
      <t xml:space="preserve">Metodo delle componenti per il calcolo della spinta sulla calotta di traccia </t>
    </r>
    <r>
      <rPr>
        <b/>
        <i/>
        <u val="single"/>
        <sz val="10"/>
        <rFont val="Times New Roman"/>
        <family val="1"/>
      </rPr>
      <t>AB</t>
    </r>
  </si>
  <si>
    <r>
      <t xml:space="preserve">Metodo dell'equilibrio globale per il calcolo della spinta sulla calotta di traccia </t>
    </r>
    <r>
      <rPr>
        <b/>
        <i/>
        <u val="single"/>
        <sz val="10"/>
        <rFont val="Times New Roman"/>
        <family val="1"/>
      </rPr>
      <t>AB</t>
    </r>
  </si>
  <si>
    <r>
      <t xml:space="preserve">Metodo dell'equilibrio globale per il calcolo della spinta sulla calotta di traccia </t>
    </r>
    <r>
      <rPr>
        <b/>
        <i/>
        <u val="single"/>
        <sz val="10"/>
        <rFont val="Times New Roman"/>
        <family val="1"/>
      </rPr>
      <t>CD</t>
    </r>
  </si>
  <si>
    <r>
      <t xml:space="preserve">                             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</si>
  <si>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</si>
  <si>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  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</si>
  <si>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        e</t>
    </r>
    <r>
      <rPr>
        <sz val="6"/>
        <rFont val="Symbol"/>
        <family val="1"/>
      </rPr>
      <t>1.1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</si>
  <si>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RTT</t>
  </si>
  <si>
    <r>
      <t>e</t>
    </r>
    <r>
      <rPr>
        <sz val="6"/>
        <rFont val="Symbol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</si>
  <si>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          e</t>
    </r>
    <r>
      <rPr>
        <sz val="6"/>
        <rFont val="Symbol"/>
        <family val="1"/>
      </rPr>
      <t>1.2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</si>
  <si>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{2,51/[Re*radq(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)]+(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/D)/3,71}</t>
    </r>
  </si>
  <si>
    <r>
      <t>l</t>
    </r>
    <r>
      <rPr>
        <sz val="6"/>
        <rFont val="Arial"/>
        <family val="2"/>
      </rPr>
      <t>1.1</t>
    </r>
    <r>
      <rPr>
        <sz val="10"/>
        <rFont val="Arial"/>
        <family val="0"/>
      </rPr>
      <t xml:space="preserve"> =</t>
    </r>
  </si>
  <si>
    <r>
      <t>J</t>
    </r>
    <r>
      <rPr>
        <sz val="6"/>
        <rFont val="Times New Roman"/>
        <family val="1"/>
      </rPr>
      <t>1.1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Arial"/>
        <family val="2"/>
      </rPr>
      <t>1.1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</si>
  <si>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1.1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</si>
  <si>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Arial"/>
        <family val="2"/>
      </rPr>
      <t>1.2</t>
    </r>
    <r>
      <rPr>
        <sz val="10"/>
        <rFont val="Arial"/>
        <family val="0"/>
      </rPr>
      <t xml:space="preserve"> =</t>
    </r>
  </si>
  <si>
    <r>
      <t>J</t>
    </r>
    <r>
      <rPr>
        <sz val="6"/>
        <rFont val="Times New Roman"/>
        <family val="1"/>
      </rPr>
      <t>1.2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Arial"/>
        <family val="2"/>
      </rPr>
      <t>1.2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</si>
  <si>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1.2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</si>
  <si>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imb</t>
    </r>
    <r>
      <rPr>
        <sz val="10"/>
        <rFont val="Times New Roman"/>
        <family val="1"/>
      </rPr>
      <t xml:space="preserve"> = 1,16*V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</si>
  <si>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Bisognerà allora fare ipotesi sul tipo di moto presente nel sistema, calcolare l'i</t>
    </r>
    <r>
      <rPr>
        <i/>
        <sz val="10"/>
        <rFont val="Times New Roman"/>
        <family val="1"/>
      </rPr>
      <t>ndice di resistenza</t>
    </r>
    <r>
      <rPr>
        <sz val="10"/>
        <rFont val="Times New Roman"/>
        <family val="1"/>
      </rPr>
      <t xml:space="preserve"> sulla base</t>
    </r>
  </si>
  <si>
    <t>di dette ipotesi, determinare la portata e, con il risultato ottenuto, andare a verificare l'ipotesi di partenza.</t>
  </si>
  <si>
    <r>
      <t xml:space="preserve">Se la verifica sarà positiva, i valori di </t>
    </r>
    <r>
      <rPr>
        <i/>
        <sz val="10"/>
        <rFont val="Symbol"/>
        <family val="1"/>
      </rPr>
      <t xml:space="preserve">l </t>
    </r>
    <r>
      <rPr>
        <sz val="10"/>
        <rFont val="Times New Roman"/>
        <family val="1"/>
      </rPr>
      <t xml:space="preserve">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saranno quelli che caratterizzano realmente il sistema; viceversa </t>
    </r>
  </si>
  <si>
    <r>
      <t xml:space="preserve">bisognerà applicare un procedimento iterativo fino a quando i valori della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-esima iterazione saranno </t>
    </r>
  </si>
  <si>
    <r>
      <t>praticamente identici a quelli della (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-1)-esima.</t>
    </r>
  </si>
  <si>
    <r>
      <t xml:space="preserve">Formule di </t>
    </r>
    <r>
      <rPr>
        <i/>
        <sz val="10"/>
        <rFont val="Times New Roman"/>
        <family val="1"/>
      </rPr>
      <t>Citrini</t>
    </r>
    <r>
      <rPr>
        <sz val="10"/>
        <rFont val="Times New Roman"/>
        <family val="1"/>
      </rPr>
      <t xml:space="preserve"> per il calcolo dell'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</si>
  <si>
    <r>
      <t xml:space="preserve">                l</t>
    </r>
    <r>
      <rPr>
        <b/>
        <sz val="6"/>
        <rFont val="Times New Roman"/>
        <family val="1"/>
      </rPr>
      <t>00</t>
    </r>
    <r>
      <rPr>
        <b/>
        <sz val="10"/>
        <rFont val="Times New Roman"/>
        <family val="1"/>
      </rPr>
      <t xml:space="preserve"> = (1/4)*[log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(3,71*D/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)]</t>
    </r>
    <r>
      <rPr>
        <b/>
        <vertAlign val="superscript"/>
        <sz val="10"/>
        <rFont val="Times New Roman"/>
        <family val="1"/>
      </rPr>
      <t>-2</t>
    </r>
    <r>
      <rPr>
        <b/>
        <sz val="10"/>
        <rFont val="Times New Roman"/>
        <family val="1"/>
      </rPr>
      <t xml:space="preserve"> </t>
    </r>
  </si>
  <si>
    <r>
      <t xml:space="preserve">           l</t>
    </r>
    <r>
      <rPr>
        <b/>
        <vertAlign val="superscript"/>
        <sz val="10"/>
        <rFont val="Times New Roman"/>
        <family val="1"/>
      </rPr>
      <t>(i)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00</t>
    </r>
    <r>
      <rPr>
        <b/>
        <sz val="10"/>
        <rFont val="Times New Roman"/>
        <family val="1"/>
      </rPr>
      <t>*</t>
    </r>
    <r>
      <rPr>
        <b/>
        <sz val="14"/>
        <rFont val="Times New Roman"/>
        <family val="1"/>
      </rPr>
      <t>{</t>
    </r>
    <r>
      <rPr>
        <b/>
        <sz val="10"/>
        <rFont val="Times New Roman"/>
        <family val="1"/>
      </rPr>
      <t>1+8/{Re[Q</t>
    </r>
    <r>
      <rPr>
        <b/>
        <vertAlign val="superscript"/>
        <sz val="10"/>
        <rFont val="Times New Roman"/>
        <family val="1"/>
      </rPr>
      <t>(i)</t>
    </r>
    <r>
      <rPr>
        <b/>
        <sz val="10"/>
        <rFont val="Times New Roman"/>
        <family val="1"/>
      </rPr>
      <t>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(i-1)</t>
    </r>
    <r>
      <rPr>
        <b/>
        <sz val="10"/>
        <rFont val="Times New Roman"/>
        <family val="1"/>
      </rPr>
      <t>]*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/D}</t>
    </r>
    <r>
      <rPr>
        <b/>
        <sz val="14"/>
        <rFont val="Times New Roman"/>
        <family val="1"/>
      </rPr>
      <t>}</t>
    </r>
    <r>
      <rPr>
        <b/>
        <sz val="10"/>
        <rFont val="Times New Roman"/>
        <family val="1"/>
      </rPr>
      <t xml:space="preserve"> </t>
    </r>
  </si>
  <si>
    <r>
      <t>Ipotesi di moto puramente turbolento (</t>
    </r>
    <r>
      <rPr>
        <i/>
        <sz val="10"/>
        <rFont val="Times New Roman"/>
        <family val="1"/>
      </rPr>
      <t>Iterazione</t>
    </r>
    <r>
      <rPr>
        <sz val="10"/>
        <rFont val="Times New Roman"/>
        <family val="1"/>
      </rPr>
      <t xml:space="preserve"> "0")</t>
    </r>
  </si>
  <si>
    <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</si>
  <si>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costante per ogni iterazione.</t>
  </si>
  <si>
    <t>Esercizio 36</t>
  </si>
  <si>
    <r>
      <t xml:space="preserve">Determinare </t>
    </r>
    <r>
      <rPr>
        <sz val="10"/>
        <rFont val="Times New Roman"/>
        <family val="1"/>
      </rPr>
      <t xml:space="preserve">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transitante ed il dislivello manometrico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Tracciare </t>
    </r>
    <r>
      <rPr>
        <sz val="10"/>
        <rFont val="Times New Roman"/>
        <family val="1"/>
      </rPr>
      <t xml:space="preserve">la </t>
    </r>
    <r>
      <rPr>
        <i/>
        <sz val="10"/>
        <rFont val="Times New Roman"/>
        <family val="1"/>
      </rPr>
      <t>linea dei carichi totali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>)</t>
    </r>
  </si>
  <si>
    <t>Risolvendola con "Ricerca obiettivo" si ottiene:</t>
  </si>
  <si>
    <t>formula = 0</t>
  </si>
  <si>
    <r>
      <t xml:space="preserve">che è un'equazione di secondo grado nella sola incognita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:</t>
    </r>
  </si>
  <si>
    <r>
      <t xml:space="preserve">con uno scarto percentuale rispetto al risultato di </t>
    </r>
    <r>
      <rPr>
        <i/>
        <sz val="10"/>
        <rFont val="Times New Roman"/>
        <family val="1"/>
      </rPr>
      <t>Colebrook</t>
    </r>
    <r>
      <rPr>
        <sz val="10"/>
        <rFont val="Times New Roman"/>
        <family val="1"/>
      </rPr>
      <t xml:space="preserve"> che è del:</t>
    </r>
  </si>
  <si>
    <r>
      <t xml:space="preserve">Se invece si volessero usare le formule di </t>
    </r>
    <r>
      <rPr>
        <i/>
        <sz val="10"/>
        <rFont val="Times New Roman"/>
        <family val="1"/>
      </rPr>
      <t>Citrini</t>
    </r>
    <r>
      <rPr>
        <sz val="10"/>
        <rFont val="Times New Roman"/>
        <family val="1"/>
      </rPr>
      <t xml:space="preserve">, partendo dall'espressione di </t>
    </r>
    <r>
      <rPr>
        <i/>
        <sz val="10"/>
        <rFont val="Times New Roman"/>
        <family val="1"/>
      </rPr>
      <t>Darcy</t>
    </r>
    <r>
      <rPr>
        <sz val="10"/>
        <rFont val="Times New Roman"/>
        <family val="1"/>
      </rPr>
      <t xml:space="preserve"> si avrebbe:</t>
    </r>
  </si>
  <si>
    <r>
      <t>J = 1/4*[log</t>
    </r>
    <r>
      <rPr>
        <b/>
        <vertAlign val="subscript"/>
        <sz val="10"/>
        <rFont val="Times New Roman"/>
        <family val="1"/>
      </rPr>
      <t>10</t>
    </r>
    <r>
      <rPr>
        <b/>
        <sz val="10"/>
        <rFont val="Times New Roman"/>
        <family val="1"/>
      </rPr>
      <t>(3,71*D/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)]</t>
    </r>
    <r>
      <rPr>
        <b/>
        <vertAlign val="superscript"/>
        <sz val="10"/>
        <rFont val="Times New Roman"/>
        <family val="1"/>
      </rPr>
      <t>-2</t>
    </r>
    <r>
      <rPr>
        <b/>
        <sz val="10"/>
        <rFont val="Times New Roman"/>
        <family val="1"/>
      </rPr>
      <t>*{1+8/[4*Q*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/(</t>
    </r>
    <r>
      <rPr>
        <b/>
        <sz val="10"/>
        <rFont val="Symbol"/>
        <family val="1"/>
      </rPr>
      <t>p</t>
    </r>
    <r>
      <rPr>
        <b/>
        <sz val="10"/>
        <rFont val="Times New Roman"/>
        <family val="1"/>
      </rPr>
      <t>*</t>
    </r>
    <r>
      <rPr>
        <b/>
        <sz val="10"/>
        <rFont val="Symbol"/>
        <family val="1"/>
      </rPr>
      <t>n*</t>
    </r>
    <r>
      <rPr>
        <b/>
        <sz val="10"/>
        <rFont val="Times New Roman"/>
        <family val="1"/>
      </rPr>
      <t>D)]}/D*Q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/(2*g*D*A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</si>
  <si>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+ 8*Q/[4*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)] = 2*g*D*J*A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/[1/4*log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>(3,71*D/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)]</t>
    </r>
  </si>
  <si>
    <r>
      <t xml:space="preserve">La componente orizzontale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CD</t>
    </r>
    <r>
      <rPr>
        <sz val="10"/>
        <rFont val="Times New Roman"/>
        <family val="1"/>
      </rPr>
      <t xml:space="preserve"> sulla calotta si calcola considerando la spinta sulla superficie </t>
    </r>
    <r>
      <rPr>
        <i/>
        <sz val="10"/>
        <rFont val="Times New Roman"/>
        <family val="1"/>
      </rPr>
      <t>piana</t>
    </r>
    <r>
      <rPr>
        <sz val="10"/>
        <rFont val="Times New Roman"/>
        <family val="1"/>
      </rPr>
      <t xml:space="preserve"> che si ottiene proiettando la </t>
    </r>
  </si>
  <si>
    <t xml:space="preserve">orizzontali delle pressioni ivi agenti. Ne consegue che il calcolo necessario a determinare questa componente è lo stesso che ha condotto a </t>
  </si>
  <si>
    <r>
      <t xml:space="preserve">calcolare 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.</t>
    </r>
  </si>
  <si>
    <t>calotta curva su un piano verticale. In pratica, cioè, sull'"ombra piana" che si ottiene se si illumina con una torcia orientata come le componenti</t>
  </si>
  <si>
    <t xml:space="preserve">questa spinta è orizzontale, con verso opposto a quello  </t>
  </si>
  <si>
    <r>
      <t xml:space="preserve">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ma più in </t>
    </r>
  </si>
  <si>
    <t>alto.</t>
  </si>
  <si>
    <r>
      <t xml:space="preserve">Il peso </t>
    </r>
    <r>
      <rPr>
        <b/>
        <sz val="10"/>
        <rFont val="Times New Roman"/>
        <family val="1"/>
      </rPr>
      <t>P</t>
    </r>
    <r>
      <rPr>
        <b/>
        <sz val="6"/>
        <rFont val="Times New Roman"/>
        <family val="1"/>
      </rPr>
      <t>CD</t>
    </r>
    <r>
      <rPr>
        <sz val="6"/>
        <rFont val="Times New Roman"/>
        <family val="1"/>
      </rPr>
      <t xml:space="preserve">  </t>
    </r>
    <r>
      <rPr>
        <sz val="10"/>
        <rFont val="Times New Roman"/>
        <family val="1"/>
      </rPr>
      <t>del volume W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di fluido compreso tra il PCI e la calotta</t>
    </r>
  </si>
  <si>
    <r>
      <t xml:space="preserve">Come accadeva per la calotta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, anche anche in questo caso si ha una distribuzione di pressioni di tipo radiale. Quindi il vettore </t>
    </r>
  </si>
  <si>
    <r>
      <t>S</t>
    </r>
    <r>
      <rPr>
        <b/>
        <sz val="6"/>
        <rFont val="Times New Roman"/>
        <family val="1"/>
      </rPr>
      <t>CD</t>
    </r>
    <r>
      <rPr>
        <sz val="10"/>
        <rFont val="Times New Roman"/>
        <family val="1"/>
      </rPr>
      <t xml:space="preserve"> sarà a sua volta radiale e "punterà" dalla calotta verso l'interno del recipiente.</t>
    </r>
  </si>
  <si>
    <r>
      <t xml:space="preserve">Si consideri un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sulla superficie libera del serbatoio di monte. La sua </t>
    </r>
    <r>
      <rPr>
        <i/>
        <sz val="10"/>
        <rFont val="Times New Roman"/>
        <family val="1"/>
      </rPr>
      <t>energia meccanica totale</t>
    </r>
    <r>
      <rPr>
        <sz val="10"/>
        <rFont val="Times New Roman"/>
        <family val="1"/>
      </rPr>
      <t xml:space="preserve"> è soltanto</t>
    </r>
  </si>
  <si>
    <t xml:space="preserve">la pressione a cui è sottoposto è nulla e quindi non possiede nemmeno energia di pressione. </t>
  </si>
  <si>
    <r>
      <t xml:space="preserve">Lungo la traiettoria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è possibile applicare l'</t>
    </r>
    <r>
      <rPr>
        <i/>
        <sz val="10"/>
        <rFont val="Times New Roman"/>
        <family val="1"/>
      </rPr>
      <t>equazione di Bernoulli</t>
    </r>
    <r>
      <rPr>
        <sz val="10"/>
        <rFont val="Times New Roman"/>
        <family val="1"/>
      </rPr>
      <t xml:space="preserve"> che si scrive:</t>
    </r>
  </si>
  <si>
    <r>
      <t xml:space="preserve">per il quale, nonostante l'uguaglianza di pressione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, "riesce ad avanzare".</t>
    </r>
  </si>
  <si>
    <r>
      <t>u</t>
    </r>
    <r>
      <rPr>
        <sz val="6"/>
        <rFont val="Times New Roman"/>
        <family val="1"/>
      </rPr>
      <t xml:space="preserve">C  </t>
    </r>
    <r>
      <rPr>
        <sz val="10"/>
        <rFont val="Times New Roman"/>
        <family val="1"/>
      </rPr>
      <t>=</t>
    </r>
  </si>
  <si>
    <t xml:space="preserve">equazione di Bernoulli, alla medesime linee del carico totale e piezometrica e quindi alla medesima portata. </t>
  </si>
  <si>
    <t>condotta a diametro costante, pur con una distanza dalla L.C.T. che è maggiore nel tronco a diametro minore perché ivi la</t>
  </si>
  <si>
    <t>velocità è maggiore e quindi è maggiore anche l'energia cinetica. Infatti:</t>
  </si>
  <si>
    <r>
      <t xml:space="preserve">per il quale, nonostante l'uguaglianza di pressione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, "riesce ad entrare" nel serbatoio.</t>
    </r>
  </si>
  <si>
    <r>
      <t xml:space="preserve">In genere, però, anche nel caso dei </t>
    </r>
    <r>
      <rPr>
        <i/>
        <sz val="10"/>
        <rFont val="Times New Roman"/>
        <family val="1"/>
      </rPr>
      <t>fluidi reali</t>
    </r>
    <r>
      <rPr>
        <sz val="10"/>
        <rFont val="Times New Roman"/>
        <family val="1"/>
      </rPr>
      <t>, capita che quando l'equazione del moto tra i due serbatoi non sia sufficiente</t>
    </r>
  </si>
  <si>
    <t>cosa accade se queste due equazioni vengono messe a sistema raggruppando opportunamente i termini.</t>
  </si>
  <si>
    <r>
      <t xml:space="preserve">Ora, essendo nota la portata Q, l'equazione di Bernoulli lungo la traiettoria </t>
    </r>
    <r>
      <rPr>
        <b/>
        <sz val="10"/>
        <rFont val="Times New Roman"/>
        <family val="1"/>
      </rPr>
      <t>A-3</t>
    </r>
    <r>
      <rPr>
        <sz val="10"/>
        <rFont val="Times New Roman"/>
        <family val="1"/>
      </rPr>
      <t xml:space="preserve"> scritta sopra presenta l'unica incognita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</si>
  <si>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r>
      <t>tratti di condotta. Qui, chiamate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le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le perdite per unità di percorso nei tratti rispettivamente a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al termine</t>
    </r>
  </si>
  <si>
    <r>
      <t>di ciascun tratto le perdite complessivamente avutesi corrispondono a J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J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 Infine, allo sbocco si ha una perdita</t>
    </r>
  </si>
  <si>
    <t>il PCI del serbatoio di valle, dove termina.</t>
  </si>
  <si>
    <t>alla L.C.T. dove il moto è uniforme, ovvero in corrispondenza dei due tratti di condotta. La sua distanza dalla linea del carico</t>
  </si>
  <si>
    <t xml:space="preserve">nota (anche se, come di verdrà più avanti, questo non è del tutto vero). Quindi quest'equazione da sola non basta a risolvere il </t>
  </si>
  <si>
    <r>
      <t>Con la portata nota diventa semplice calcolare il valore degli indici di resistenza tramite 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 xml:space="preserve"> o le sue formule.</t>
    </r>
  </si>
  <si>
    <r>
      <t xml:space="preserve">   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usando l'Abaco di Moody:</t>
    </r>
  </si>
  <si>
    <t xml:space="preserve">In alternativa alla "via grafica", la formula da usare per </t>
  </si>
  <si>
    <r>
      <t xml:space="preserve">Oppure si può usare quella di </t>
    </r>
    <r>
      <rPr>
        <i/>
        <sz val="10"/>
        <rFont val="Times New Roman"/>
        <family val="1"/>
      </rPr>
      <t>Blasius</t>
    </r>
    <r>
      <rPr>
        <sz val="10"/>
        <rFont val="Times New Roman"/>
        <family val="1"/>
      </rPr>
      <t>.</t>
    </r>
  </si>
  <si>
    <r>
      <t>occorre ridurre il sistema delle tre forze (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), con i loro momenti rispetto al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ad un'unica forza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con il suo braccio rispetto al  </t>
    </r>
  </si>
  <si>
    <r>
      <t>Quindi, per determinare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occorre prima conoscere i bracci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,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6"/>
        <rFont val="Times New Roman"/>
        <family val="1"/>
      </rPr>
      <t>+</t>
    </r>
    <r>
      <rPr>
        <sz val="10"/>
        <rFont val="Times New Roman"/>
        <family val="1"/>
      </rPr>
      <t xml:space="preserve"> e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6"/>
        <rFont val="Times New Roman"/>
        <family val="1"/>
      </rPr>
      <t>-</t>
    </r>
    <r>
      <rPr>
        <sz val="10"/>
        <rFont val="Times New Roman"/>
        <family val="1"/>
      </rPr>
      <t xml:space="preserve">, i quali possono essere individuati molto semplicemente per il </t>
    </r>
  </si>
  <si>
    <t xml:space="preserve">quindi non possiede né energia cinetica né energia di pressione. </t>
  </si>
  <si>
    <r>
      <t xml:space="preserve">Si condideri ora una traiettoria che porti dal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ad un punto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nella sezione di sbocco della condotta, ma ancora</t>
    </r>
  </si>
  <si>
    <r>
      <t>Partendo invece dal PCI di valle - che si trova alla quota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al di sopra del punto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si procede con il tracciamento della</t>
    </r>
  </si>
  <si>
    <r>
      <t>linea piezometrica</t>
    </r>
    <r>
      <rPr>
        <sz val="10"/>
        <rFont val="Times New Roman"/>
        <family val="1"/>
      </rPr>
      <t>. Questa risulta parallela alla linea del carico totale laddove il moto è uniforme, cioè nei tronchi di</t>
    </r>
  </si>
  <si>
    <r>
      <t xml:space="preserve">     u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</si>
  <si>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poiché    u</t>
    </r>
    <r>
      <rPr>
        <sz val="6"/>
        <rFont val="Times New Roman"/>
        <family val="1"/>
      </rPr>
      <t>1 i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      </t>
    </r>
  </si>
  <si>
    <r>
      <t>"</t>
    </r>
    <r>
      <rPr>
        <sz val="10"/>
        <rFont val="Times New Roman"/>
        <family val="1"/>
      </rPr>
      <t xml:space="preserve"> traiettoria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nella condotta di area A</t>
    </r>
    <r>
      <rPr>
        <sz val="6"/>
        <rFont val="Times New Roman"/>
        <family val="1"/>
      </rPr>
      <t>1</t>
    </r>
  </si>
  <si>
    <r>
      <t>"</t>
    </r>
    <r>
      <rPr>
        <sz val="10"/>
        <rFont val="Times New Roman"/>
        <family val="1"/>
      </rPr>
      <t xml:space="preserve"> traiettoria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nella condotta con sezione di area A</t>
    </r>
  </si>
  <si>
    <r>
      <t xml:space="preserve">     u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</si>
  <si>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poiché    u</t>
    </r>
    <r>
      <rPr>
        <sz val="6"/>
        <rFont val="Times New Roman"/>
        <family val="1"/>
      </rPr>
      <t>2 j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     </t>
    </r>
  </si>
  <si>
    <r>
      <t>"</t>
    </r>
    <r>
      <rPr>
        <sz val="10"/>
        <rFont val="Times New Roman"/>
        <family val="1"/>
      </rPr>
      <t xml:space="preserve"> traiettoria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nella condotta di area A</t>
    </r>
    <r>
      <rPr>
        <sz val="6"/>
        <rFont val="Times New Roman"/>
        <family val="1"/>
      </rPr>
      <t>2</t>
    </r>
  </si>
  <si>
    <r>
      <t xml:space="preserve">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</si>
  <si>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</si>
  <si>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&gt;</t>
  </si>
  <si>
    <t>e quindi:</t>
  </si>
  <si>
    <r>
      <t xml:space="preserve">     [u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        &lt;</t>
    </r>
  </si>
  <si>
    <r>
      <t xml:space="preserve">     [u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</t>
    </r>
  </si>
  <si>
    <t xml:space="preserve">In prossimità dell'imbocco la L.P. si raccorda alla superficie libera del serbatoio di monte con un tratto qualitativo che </t>
  </si>
  <si>
    <t>rappresenta l'incremento di velocità nella direzionedel moto.</t>
  </si>
  <si>
    <t>Al di sopra del tronco convergente la curvatura delle traiettorie comporta una distribuzione di pressione non idrostatica</t>
  </si>
  <si>
    <t xml:space="preserve">del moto. Il tratto è necessariamente qualitativo poiché qui la curvatura delle traiettorie che "imboccano" la condotta </t>
  </si>
  <si>
    <t xml:space="preserve">comporta una distribuzione delle pressioni non idrostatica. In altre parole, ciascuna traiettoria ha una sua propria linea </t>
  </si>
  <si>
    <t>piezometrica.</t>
  </si>
  <si>
    <t>(come all'imbocco). L'esistenza di infinite linee piezometriche (una per ciascuna traiettoria) viene allora schematizzata</t>
  </si>
  <si>
    <t>con un tratto qualitativo che "sintetizza" l'incremento di velocità subito dal fluido nel suo insieme.</t>
  </si>
  <si>
    <r>
      <t xml:space="preserve">Lungo la traiettoria </t>
    </r>
    <r>
      <rPr>
        <b/>
        <sz val="10"/>
        <rFont val="Times New Roman"/>
        <family val="1"/>
      </rPr>
      <t>A-3</t>
    </r>
    <r>
      <rPr>
        <sz val="10"/>
        <rFont val="Times New Roman"/>
        <family val="1"/>
      </rPr>
      <t xml:space="preserve"> è possibile applicare l'equazione di Bernoulli che si scrive: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</si>
  <si>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3</t>
    </r>
  </si>
  <si>
    <r>
      <t>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3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</si>
  <si>
    <r>
      <t xml:space="preserve">          Z</t>
    </r>
    <r>
      <rPr>
        <sz val="6"/>
        <rFont val="Times New Roman"/>
        <family val="1"/>
      </rPr>
      <t xml:space="preserve">3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</t>
    </r>
  </si>
  <si>
    <r>
      <t xml:space="preserve">perché il punto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si trova alla stessa pressione del fluido presente nel serbatoio alla stessa</t>
    </r>
  </si>
  <si>
    <r>
      <t xml:space="preserve">     u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</si>
  <si>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Dunque si ottiene:</t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</si>
  <si>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B </t>
    </r>
    <r>
      <rPr>
        <sz val="10"/>
        <rFont val="Times New Roman"/>
        <family val="1"/>
      </rPr>
      <t>+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</si>
  <si>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Quest'equazione però contiene due incognite,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e Q, e quindi da sola non basta a risolvere il problema.</t>
    </r>
  </si>
  <si>
    <t>del sistema offrano altre equazioni capaci di portare in pareggio il bilancio equazioni-incognite.</t>
  </si>
  <si>
    <t xml:space="preserve">a "chiudere" il problema, macchine idrauliche, luci di efflusso o strumenti di misura disposti in qualche "zona strategica" </t>
  </si>
  <si>
    <t xml:space="preserve">In questo esercizio, "a cavallo" del tratto convergente è applicato un manometro differenziale per il quale si suppone che </t>
  </si>
  <si>
    <r>
      <t xml:space="preserve">nelle due sezioni di presa il moto sia uniforme. In tal caso, presi su di esse due punti,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lungo la traiettoria </t>
    </r>
    <r>
      <rPr>
        <b/>
        <sz val="10"/>
        <rFont val="Times New Roman"/>
        <family val="1"/>
      </rPr>
      <t>A-3</t>
    </r>
    <r>
      <rPr>
        <sz val="10"/>
        <rFont val="Times New Roman"/>
        <family val="1"/>
      </rPr>
      <t xml:space="preserve">, </t>
    </r>
  </si>
  <si>
    <t>la distribuzione idrostatica delle pressioni consente di scrivere la nota relazione del manometro differenziale:</t>
  </si>
  <si>
    <r>
      <t>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</si>
  <si>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r>
      <t xml:space="preserve">la quale indica che la differenza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tra le quote piezometriche corrispondenti alle sezioni cui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appartengono è in</t>
    </r>
  </si>
  <si>
    <r>
      <t xml:space="preserve">relazione con il dislivello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rilevato dai menischi del fluido manometrico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.</t>
    </r>
  </si>
  <si>
    <r>
      <t>Dunque, il secondo membro di questa equazione è noto grazie ai dati in ingresso. Non sono note invece Z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,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</si>
  <si>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Allora questa equazione a cosa serve? Per rispondere a questa domanda si scriva l'equazione di Bernuolli lungo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</si>
  <si>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+u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/(2 g) </t>
    </r>
  </si>
  <si>
    <t>ora, sostituendo alle velocità il rapporto tra la portata e l'area della sezione si ottiene:</t>
  </si>
  <si>
    <r>
      <t>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</si>
  <si>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t xml:space="preserve">Qui compaiono le stesse incognite dell'equazione del manometro differenziale più la portata transitante Q. Ora si osservi </t>
  </si>
  <si>
    <r>
      <t>(Z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 -(Z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</si>
  <si>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r>
      <t>(Z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 - (Z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(1/A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</si>
  <si>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t>Come si nota il sistema è di due equazioni in due incognite, la portata Q e la differenza di quota piezometrica tra le sezioni</t>
  </si>
  <si>
    <t xml:space="preserve">di presa manometrica. Inoltre le equazioni sono disaccoppiate. Equagliando i secondi membri si ottiene un'unica equazione </t>
  </si>
  <si>
    <t>che consente di ricavare la portata.</t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</si>
  <si>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</si>
  <si>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r>
      <t xml:space="preserve"> = 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(1/A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</si>
  <si>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 xml:space="preserve"> 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A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+a+(L/2) sen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+(D/2)cos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] =</t>
    </r>
  </si>
  <si>
    <r>
      <t>A =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</si>
  <si>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S = p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A =</t>
    </r>
  </si>
  <si>
    <r>
      <t>●  calcolo della coordinata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dell'otturatore, misurata a </t>
    </r>
  </si>
  <si>
    <r>
      <t xml:space="preserve">con retta d'azione più alta rispetto al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>.</t>
    </r>
  </si>
  <si>
    <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>G/</t>
    </r>
    <r>
      <rPr>
        <sz val="10"/>
        <rFont val="Times New Roman"/>
        <family val="1"/>
      </rPr>
      <t>M =</t>
    </r>
  </si>
  <si>
    <r>
      <t xml:space="preserve">              x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</si>
  <si>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 xml:space="preserve">       G</t>
    </r>
    <r>
      <rPr>
        <sz val="10"/>
        <rFont val="Times New Roman"/>
        <family val="1"/>
      </rPr>
      <t xml:space="preserve"> = |S| |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| =</t>
    </r>
  </si>
  <si>
    <r>
      <t>G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S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</t>
    </r>
  </si>
  <si>
    <r>
      <t>Determinare</t>
    </r>
    <r>
      <rPr>
        <sz val="10"/>
        <rFont val="Times New Roman"/>
        <family val="1"/>
      </rPr>
      <t xml:space="preserve"> l'indicazione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 manometro differenziale, la spinta orizzontale "netta" sulla superficie piana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 e la distanza  </t>
    </r>
  </si>
  <si>
    <r>
      <t>della sua retta d'azione rispetto alla parete superiore del recipiente.</t>
    </r>
  </si>
  <si>
    <r>
      <t xml:space="preserve">Per ricavare il valore del dislivello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conviene "entrare" nel sistema attraverso il manometro semplice. Quindi, sfruttando la pressione nel </t>
    </r>
  </si>
  <si>
    <r>
      <t xml:space="preserve">punto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, che è facilmente calcolabile, individuare la posizione del PCI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da questa l'affondamento h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del menisco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la </t>
    </r>
  </si>
  <si>
    <r>
      <t>pressione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. Poi conviene calcolare l'affondamento di un punto</t>
    </r>
    <r>
      <rPr>
        <b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sull'interfaccia tra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ricavare dalla pressione p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la quota del PCI </t>
    </r>
  </si>
  <si>
    <r>
      <t xml:space="preserve">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, da questa determinare l'affondamento di un punto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sull'interfaccia tra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il gas e quindi la pressione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che  sarà</t>
    </r>
  </si>
  <si>
    <r>
      <t>identica a quella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gravante sul menisco </t>
    </r>
    <r>
      <rPr>
        <b/>
        <sz val="10"/>
        <rFont val="Times New Roman"/>
        <family val="1"/>
      </rPr>
      <t>T</t>
    </r>
    <r>
      <rPr>
        <sz val="10"/>
        <rFont val="Times New Roman"/>
        <family val="1"/>
      </rPr>
      <t>.</t>
    </r>
  </si>
  <si>
    <r>
      <t>Le pressioni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e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sono legate al dilivello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dalla relazione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, dalla quale, note le pressioni, è immediato ricavare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</si>
  <si>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Nel punto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la pressione vale:</t>
    </r>
  </si>
  <si>
    <r>
      <t>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</si>
  <si>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  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</si>
  <si>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e quindi l'affondamento di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si calcola agevolmente scrivendo:</t>
    </r>
  </si>
  <si>
    <r>
      <t>Ora, l'affondamento h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del punto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la sua pressione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valgono rispettivamente:</t>
    </r>
  </si>
  <si>
    <r>
      <t>h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-a-d =</t>
    </r>
  </si>
  <si>
    <r>
      <t xml:space="preserve">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</t>
    </r>
  </si>
  <si>
    <r>
      <t xml:space="preserve">Poi, preso un punto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sull'interfaccia tra i fluidi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la sua pressione si può calcolare come:</t>
    </r>
  </si>
  <si>
    <r>
      <t xml:space="preserve"> p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h'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(h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-a+b) =</t>
    </r>
  </si>
  <si>
    <r>
      <t xml:space="preserve">di conseguenza, l'affondamento di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vale:</t>
    </r>
  </si>
  <si>
    <r>
      <t xml:space="preserve"> h''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 xml:space="preserve">I 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</si>
  <si>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Preso ora un punto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sull'interfaccia tra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il gas, il suo affondamento h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e la sua pressione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valgono rispettivamente:</t>
    </r>
  </si>
  <si>
    <r>
      <t xml:space="preserve">             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-p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</si>
  <si>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 xml:space="preserve">La retta d'azione di questo vettore passa per il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, nella </t>
    </r>
  </si>
  <si>
    <r>
      <t xml:space="preserve">Ora si calcolino con il solito procedimento le spinte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le distanze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0 2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0 1</t>
    </r>
    <r>
      <rPr>
        <sz val="10"/>
        <rFont val="Times New Roman"/>
        <family val="1"/>
      </rPr>
      <t xml:space="preserve"> dei relativi centri di spinta dai baricentri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</si>
  <si>
    <r>
      <t>necessarie per poter determinare la posizione r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del risultante delle tre forze rispetto alla sommità del setto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>.</t>
    </r>
  </si>
  <si>
    <r>
      <t xml:space="preserve">●  affondamento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superficie alta (b-c)</t>
    </r>
  </si>
  <si>
    <r>
      <t xml:space="preserve">●  pressione nel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</si>
  <si>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 xml:space="preserve">                                      p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</t>
    </r>
  </si>
  <si>
    <r>
      <t xml:space="preserve">                              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b L =</t>
    </r>
  </si>
  <si>
    <r>
      <t xml:space="preserve">●  affondamento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della superficie alta b</t>
    </r>
  </si>
  <si>
    <r>
      <t xml:space="preserve">       h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>+(b-c)/2 =</t>
    </r>
  </si>
  <si>
    <r>
      <t xml:space="preserve">                 h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-a+b/2 </t>
    </r>
    <r>
      <rPr>
        <sz val="9"/>
        <rFont val="Times New Roman"/>
        <family val="1"/>
      </rPr>
      <t>=</t>
    </r>
  </si>
  <si>
    <r>
      <t xml:space="preserve">●  pressione nel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</si>
  <si>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 xml:space="preserve">                                        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</si>
  <si>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AA</t>
    </r>
    <r>
      <rPr>
        <sz val="10"/>
        <rFont val="Times New Roman"/>
        <family val="1"/>
      </rPr>
      <t xml:space="preserve"> = 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</si>
  <si>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Sapendo che 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AB</t>
    </r>
    <r>
      <rPr>
        <sz val="10"/>
        <rFont val="Times New Roman"/>
        <family val="1"/>
      </rPr>
      <t xml:space="preserve"> cercata corrisponde 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0a</t>
    </r>
    <r>
      <rPr>
        <sz val="10"/>
        <rFont val="Times New Roman"/>
        <family val="1"/>
      </rPr>
      <t>, applicando il solito procedimento di calcolo si giunge ai seguenti risultati:</t>
    </r>
  </si>
  <si>
    <r>
      <t xml:space="preserve">         S</t>
    </r>
    <r>
      <rPr>
        <sz val="6"/>
        <rFont val="Times New Roman"/>
        <family val="1"/>
      </rPr>
      <t>AB x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1a</t>
    </r>
    <r>
      <rPr>
        <sz val="10"/>
        <rFont val="Times New Roman"/>
        <family val="1"/>
      </rPr>
      <t>|/2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</si>
  <si>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              S</t>
    </r>
    <r>
      <rPr>
        <sz val="6"/>
        <rFont val="Times New Roman"/>
        <family val="1"/>
      </rPr>
      <t>AB z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1a</t>
    </r>
    <r>
      <rPr>
        <sz val="10"/>
        <rFont val="Times New Roman"/>
        <family val="1"/>
      </rPr>
      <t>|/2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</si>
  <si>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S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 xml:space="preserve"> = [(S</t>
    </r>
    <r>
      <rPr>
        <sz val="6"/>
        <rFont val="Times New Roman"/>
        <family val="1"/>
      </rPr>
      <t>AB 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+(S</t>
    </r>
    <r>
      <rPr>
        <sz val="6"/>
        <rFont val="Times New Roman"/>
        <family val="1"/>
      </rPr>
      <t>AB z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</si>
  <si>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>S</t>
    </r>
    <r>
      <rPr>
        <b/>
        <sz val="6"/>
        <rFont val="Times New Roman"/>
        <family val="1"/>
      </rPr>
      <t>CD</t>
    </r>
    <r>
      <rPr>
        <b/>
        <sz val="10"/>
        <rFont val="Times New Roman"/>
        <family val="1"/>
      </rPr>
      <t xml:space="preserve"> =  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= G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6"/>
        <rFont val="Symbol"/>
        <family val="1"/>
      </rPr>
      <t>g</t>
    </r>
  </si>
  <si>
    <t xml:space="preserve">ed essendo facilmente calcolabili i termini a secondo membro lo è anche l'incognita cercata. </t>
  </si>
  <si>
    <t>Il procedimento per il calcolo è il consueto.</t>
  </si>
  <si>
    <r>
      <t xml:space="preserve">                 W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1/4 R L - 1/2 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 =</t>
    </r>
  </si>
  <si>
    <r>
      <t xml:space="preserve">                 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</si>
  <si>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E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-h-R/2] =</t>
    </r>
  </si>
  <si>
    <t xml:space="preserve">                                   cui corrisponde:</t>
  </si>
  <si>
    <r>
      <t xml:space="preserve">                                      x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02</t>
    </r>
    <r>
      <rPr>
        <sz val="10"/>
        <rFont val="Times New Roman"/>
        <family val="1"/>
      </rPr>
      <t xml:space="preserve"> =</t>
    </r>
  </si>
  <si>
    <r>
      <t xml:space="preserve">   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, misurata a partire dalla retta di sponda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</t>
    </r>
  </si>
  <si>
    <t xml:space="preserve">    lungo la linea di massima pendenza della superficie premuta.</t>
  </si>
  <si>
    <r>
      <t xml:space="preserve">● calcolo di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02</t>
    </r>
    <r>
      <rPr>
        <sz val="10"/>
        <rFont val="Times New Roman"/>
        <family val="1"/>
      </rPr>
      <t>:</t>
    </r>
  </si>
  <si>
    <r>
      <t xml:space="preserve">    da </t>
    </r>
    <r>
      <rPr>
        <sz val="10"/>
        <rFont val="Symbol"/>
        <family val="1"/>
      </rPr>
      <t>g</t>
    </r>
    <r>
      <rPr>
        <sz val="6"/>
        <rFont val="Symbol"/>
        <family val="1"/>
      </rPr>
      <t>2</t>
    </r>
    <r>
      <rPr>
        <sz val="10"/>
        <rFont val="Times New Roman"/>
        <family val="1"/>
      </rPr>
      <t>:</t>
    </r>
  </si>
  <si>
    <r>
      <t>● calcolo del momento statico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superficie premuta</t>
    </r>
  </si>
  <si>
    <r>
      <t xml:space="preserve">    sponda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</si>
  <si>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 xml:space="preserve">   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, misurata a partire dalla retta di sponda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,</t>
    </r>
  </si>
  <si>
    <r>
      <t>x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</t>
    </r>
  </si>
  <si>
    <r>
      <t>● calcolo del momento statico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superficie premuta</t>
    </r>
  </si>
  <si>
    <r>
      <t xml:space="preserve">    da </t>
    </r>
    <r>
      <rPr>
        <sz val="10"/>
        <rFont val="Symbol"/>
        <family val="1"/>
      </rPr>
      <t>g</t>
    </r>
    <r>
      <rPr>
        <sz val="6"/>
        <rFont val="Symbol"/>
        <family val="1"/>
      </rPr>
      <t>1</t>
    </r>
    <r>
      <rPr>
        <sz val="10"/>
        <rFont val="Times New Roman"/>
        <family val="1"/>
      </rPr>
      <t>:</t>
    </r>
  </si>
  <si>
    <r>
      <t>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</si>
  <si>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sponda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</si>
  <si>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>I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 1/12 L b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</si>
  <si>
    <r>
      <t xml:space="preserve">● calcolo di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01</t>
    </r>
    <r>
      <rPr>
        <sz val="10"/>
        <rFont val="Times New Roman"/>
        <family val="1"/>
      </rPr>
      <t>:</t>
    </r>
  </si>
  <si>
    <r>
      <t>x</t>
    </r>
    <r>
      <rPr>
        <sz val="6"/>
        <rFont val="Times New Roman"/>
        <family val="1"/>
      </rPr>
      <t>01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>/M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</si>
  <si>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                        x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01</t>
    </r>
    <r>
      <rPr>
        <sz val="10"/>
        <rFont val="Times New Roman"/>
        <family val="1"/>
      </rPr>
      <t xml:space="preserve"> =</t>
    </r>
  </si>
  <si>
    <r>
      <t xml:space="preserve">Questo, in generale, non è valido nel caso dei </t>
    </r>
    <r>
      <rPr>
        <i/>
        <sz val="10"/>
        <rFont val="Times New Roman"/>
        <family val="1"/>
      </rPr>
      <t>fluidi reali</t>
    </r>
    <r>
      <rPr>
        <sz val="10"/>
        <rFont val="Times New Roman"/>
        <family val="1"/>
      </rPr>
      <t xml:space="preserve"> per i quali, però, si vedrà che il concetto di traiettoria sarà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</si>
  <si>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D</t>
    </r>
  </si>
  <si>
    <t>L'ultima conseguenza è:</t>
  </si>
  <si>
    <t>Il risultato ottenuto si può commentare notando che la portata risulta proporzionale alla differenza di carico tra i serbatoi</t>
  </si>
  <si>
    <r>
      <t>(</t>
    </r>
    <r>
      <rPr>
        <i/>
        <sz val="10"/>
        <rFont val="Times New Roman"/>
        <family val="1"/>
      </rPr>
      <t>carico motore</t>
    </r>
    <r>
      <rPr>
        <sz val="10"/>
        <rFont val="Times New Roman"/>
        <family val="1"/>
      </rPr>
      <t xml:space="preserve">) e alle dimensioni della condotta. Questo, in generale, è vero anche per i </t>
    </r>
    <r>
      <rPr>
        <i/>
        <sz val="10"/>
        <rFont val="Times New Roman"/>
        <family val="1"/>
      </rPr>
      <t>fluidi reali</t>
    </r>
    <r>
      <rPr>
        <sz val="10"/>
        <rFont val="Times New Roman"/>
        <family val="1"/>
      </rPr>
      <t>.</t>
    </r>
  </si>
  <si>
    <r>
      <t xml:space="preserve">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02</t>
    </r>
    <r>
      <rPr>
        <sz val="10"/>
        <rFont val="Times New Roman"/>
        <family val="1"/>
      </rPr>
      <t xml:space="preserve"> è applicata alla parte curva della superficie di chiusura del volume di controllo. Essa coincide di fatto con 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cercata.</t>
    </r>
  </si>
  <si>
    <t>sapendo che:</t>
  </si>
  <si>
    <r>
      <t>S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= 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02</t>
    </r>
    <r>
      <rPr>
        <b/>
        <sz val="10"/>
        <rFont val="Times New Roman"/>
        <family val="1"/>
      </rPr>
      <t xml:space="preserve"> = -G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-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</si>
  <si>
    <r>
      <t xml:space="preserve">(il vettore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è verticale, diretto verso il basso, con retta d'azione</t>
    </r>
  </si>
  <si>
    <r>
      <t>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</si>
  <si>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= 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</si>
  <si>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e il modulo</t>
  </si>
  <si>
    <r>
      <t>S</t>
    </r>
    <r>
      <rPr>
        <sz val="6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= [(S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</si>
  <si>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= [(S</t>
    </r>
    <r>
      <rPr>
        <sz val="6"/>
        <rFont val="Times New Roman"/>
        <family val="1"/>
      </rPr>
      <t>1 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</si>
  <si>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t>Metodo delle componenti applicato alla calotta 1</t>
  </si>
  <si>
    <t>●  area "dell'ombra" piana della calotta 1 proiettata su un piano verticale:</t>
  </si>
  <si>
    <r>
      <t>●  componente S</t>
    </r>
    <r>
      <rPr>
        <sz val="6"/>
        <rFont val="Times New Roman"/>
        <family val="1"/>
      </rPr>
      <t>1 x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</si>
  <si>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t xml:space="preserve">questa spinta è orizzontale, ha il verso concorde con quello dell'asse x - deducibile dal fatto </t>
  </si>
  <si>
    <t xml:space="preserve">che le componenti orizzontali delle pressioni sulla calotta hanno tutte il verso di x - ed è </t>
  </si>
  <si>
    <t xml:space="preserve">semi calotta superiore (fino alla tangenza verticale) ove le componenti </t>
  </si>
  <si>
    <r>
      <t>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B1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L-1/4</t>
    </r>
    <r>
      <rPr>
        <sz val="6"/>
        <rFont val="Times New Roman"/>
        <family val="1"/>
      </rPr>
      <t xml:space="preserve">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 =</t>
    </r>
  </si>
  <si>
    <t>verticali delle pressioni hanno il verso dell'asse z. Esso va considerato</t>
  </si>
  <si>
    <r>
      <t>P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=</t>
    </r>
  </si>
  <si>
    <t>"diretto verso l'alto", come le componenti suddette, con retta d'azione</t>
  </si>
  <si>
    <r>
      <t>verticale passante per il baricentro di 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>.</t>
    </r>
  </si>
  <si>
    <r>
      <t>confermata l'ipotesi iniziale: la portata calcolata è quella effettivamente circolante</t>
    </r>
    <r>
      <rPr>
        <i/>
        <sz val="10"/>
        <rFont val="Times New Roman"/>
        <family val="1"/>
      </rPr>
      <t>.</t>
    </r>
  </si>
  <si>
    <r>
      <t xml:space="preserve">Alternativamente, si sarebbe potuto cominciare il calcolo iterativo ipotizzando il </t>
    </r>
    <r>
      <rPr>
        <i/>
        <sz val="10"/>
        <rFont val="Times New Roman"/>
        <family val="1"/>
      </rPr>
      <t xml:space="preserve">moto puramente turbolento </t>
    </r>
  </si>
  <si>
    <r>
      <t xml:space="preserve">nelle condotte </t>
    </r>
    <r>
      <rPr>
        <i/>
        <sz val="10"/>
        <rFont val="Times New Roman"/>
        <family val="1"/>
      </rPr>
      <t>D2</t>
    </r>
    <r>
      <rPr>
        <sz val="10"/>
        <rFont val="Times New Roman"/>
        <family val="1"/>
      </rPr>
      <t xml:space="preserve"> e</t>
    </r>
    <r>
      <rPr>
        <i/>
        <sz val="10"/>
        <rFont val="Times New Roman"/>
        <family val="1"/>
      </rPr>
      <t xml:space="preserve"> D</t>
    </r>
    <r>
      <rPr>
        <i/>
        <sz val="6"/>
        <rFont val="Times New Roman"/>
        <family val="1"/>
      </rPr>
      <t>3</t>
    </r>
    <r>
      <rPr>
        <i/>
        <sz val="10"/>
        <rFont val="Times New Roman"/>
        <family val="1"/>
      </rPr>
      <t xml:space="preserve"> e</t>
    </r>
    <r>
      <rPr>
        <sz val="10"/>
        <rFont val="Times New Roman"/>
        <family val="1"/>
      </rPr>
      <t xml:space="preserve">d usando, per il calcolo degli </t>
    </r>
    <r>
      <rPr>
        <i/>
        <sz val="10"/>
        <rFont val="Times New Roman"/>
        <family val="1"/>
      </rPr>
      <t xml:space="preserve">indicidi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le </t>
    </r>
    <r>
      <rPr>
        <i/>
        <sz val="10"/>
        <rFont val="Times New Roman"/>
        <family val="1"/>
      </rPr>
      <t>formule di Citrini.</t>
    </r>
  </si>
  <si>
    <r>
      <t>l</t>
    </r>
    <r>
      <rPr>
        <sz val="6"/>
        <rFont val="Times New Roman"/>
        <family val="1"/>
      </rPr>
      <t>00k</t>
    </r>
    <r>
      <rPr>
        <sz val="10"/>
        <rFont val="Times New Roman"/>
        <family val="1"/>
      </rPr>
      <t xml:space="preserve"> = (1/4)*[log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(3.71*D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e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</t>
    </r>
  </si>
  <si>
    <r>
      <t>l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00k</t>
    </r>
    <r>
      <rPr>
        <sz val="10"/>
        <rFont val="Times New Roman"/>
        <family val="1"/>
      </rPr>
      <t>*{1+8/[Re</t>
    </r>
    <r>
      <rPr>
        <vertAlign val="superscript"/>
        <sz val="6"/>
        <rFont val="Times New Roman"/>
        <family val="1"/>
      </rPr>
      <t>k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e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k</t>
    </r>
    <r>
      <rPr>
        <sz val="10"/>
        <rFont val="Times New Roman"/>
        <family val="1"/>
      </rPr>
      <t xml:space="preserve">]} </t>
    </r>
  </si>
  <si>
    <t>Il calcolo seguente all'ipotesi di assulota turbolenza avrebbe dato luogo ai seguenti valori:</t>
  </si>
  <si>
    <r>
      <t>l</t>
    </r>
    <r>
      <rPr>
        <vertAlign val="subscript"/>
        <sz val="10"/>
        <rFont val="Times New Roman"/>
        <family val="1"/>
      </rPr>
      <t>002</t>
    </r>
    <r>
      <rPr>
        <sz val="10"/>
        <rFont val="Times New Roman"/>
        <family val="1"/>
      </rPr>
      <t xml:space="preserve"> = 1/4*[log</t>
    </r>
    <r>
      <rPr>
        <sz val="6"/>
        <rFont val="Times New Roman"/>
        <family val="1"/>
      </rPr>
      <t xml:space="preserve">10 </t>
    </r>
    <r>
      <rPr>
        <sz val="10"/>
        <rFont val="Times New Roman"/>
        <family val="1"/>
      </rPr>
      <t>(3,71*D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e</t>
    </r>
    <r>
      <rPr>
        <sz val="6"/>
        <rFont val="Symbol"/>
        <family val="1"/>
      </rPr>
      <t>2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</si>
  <si>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>l</t>
    </r>
    <r>
      <rPr>
        <vertAlign val="subscript"/>
        <sz val="10"/>
        <rFont val="Times New Roman"/>
        <family val="1"/>
      </rPr>
      <t>003</t>
    </r>
    <r>
      <rPr>
        <sz val="10"/>
        <rFont val="Times New Roman"/>
        <family val="1"/>
      </rPr>
      <t xml:space="preserve"> = 1/4*[log</t>
    </r>
    <r>
      <rPr>
        <sz val="6"/>
        <rFont val="Times New Roman"/>
        <family val="1"/>
      </rPr>
      <t xml:space="preserve">10 </t>
    </r>
    <r>
      <rPr>
        <sz val="10"/>
        <rFont val="Times New Roman"/>
        <family val="1"/>
      </rPr>
      <t>(3,71*D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e</t>
    </r>
    <r>
      <rPr>
        <sz val="6"/>
        <rFont val="Symbol"/>
        <family val="1"/>
      </rPr>
      <t>3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</si>
  <si>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 xml:space="preserve">che sono esattamente gli stessi dedotti a mezzo della formula di </t>
    </r>
    <r>
      <rPr>
        <i/>
        <sz val="10"/>
        <rFont val="Times New Roman"/>
        <family val="1"/>
      </rPr>
      <t>Prandtl - Von Kàrmàn.</t>
    </r>
  </si>
  <si>
    <t>Esercizio 47</t>
  </si>
  <si>
    <r>
      <t xml:space="preserve">g </t>
    </r>
    <r>
      <rPr>
        <sz val="10"/>
        <rFont val="Times New Roman"/>
        <family val="1"/>
      </rPr>
      <t>=</t>
    </r>
  </si>
  <si>
    <r>
      <t>h</t>
    </r>
    <r>
      <rPr>
        <sz val="6"/>
        <rFont val="Times New Roman"/>
        <family val="1"/>
      </rPr>
      <t>P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</si>
  <si>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>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</si>
  <si>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 xml:space="preserve">n </t>
    </r>
    <r>
      <rPr>
        <sz val="10"/>
        <rFont val="Times New Roman"/>
        <family val="1"/>
      </rPr>
      <t>=</t>
    </r>
  </si>
  <si>
    <r>
      <t>x</t>
    </r>
    <r>
      <rPr>
        <i/>
        <sz val="8"/>
        <rFont val="Arial"/>
        <family val="2"/>
      </rPr>
      <t xml:space="preserve"> </t>
    </r>
    <r>
      <rPr>
        <i/>
        <sz val="6"/>
        <rFont val="Times New Roman"/>
        <family val="1"/>
      </rPr>
      <t>brusco restr.</t>
    </r>
    <r>
      <rPr>
        <i/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</si>
  <si>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m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</si>
  <si>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 xml:space="preserve">m </t>
    </r>
    <r>
      <rPr>
        <sz val="10"/>
        <rFont val="Times New Roman"/>
        <family val="1"/>
      </rPr>
      <t>=</t>
    </r>
  </si>
  <si>
    <r>
      <t xml:space="preserve">D </t>
    </r>
    <r>
      <rPr>
        <sz val="10"/>
        <rFont val="Times New Roman"/>
        <family val="1"/>
      </rPr>
      <t>=</t>
    </r>
  </si>
  <si>
    <r>
      <t>e</t>
    </r>
    <r>
      <rPr>
        <sz val="7"/>
        <rFont val="Symbol"/>
        <family val="1"/>
      </rPr>
      <t>1</t>
    </r>
    <r>
      <rPr>
        <sz val="10"/>
        <rFont val="Symbol"/>
        <family val="1"/>
      </rPr>
      <t xml:space="preserve"> = e</t>
    </r>
    <r>
      <rPr>
        <sz val="7"/>
        <rFont val="Symbol"/>
        <family val="1"/>
      </rPr>
      <t>2</t>
    </r>
    <r>
      <rPr>
        <sz val="10"/>
        <rFont val="Symbol"/>
        <family val="1"/>
      </rPr>
      <t xml:space="preserve"> =</t>
    </r>
  </si>
  <si>
    <r>
      <t xml:space="preserve">Naturalmente, le "mosse" che portano al calcolo di </t>
    </r>
    <r>
      <rPr>
        <sz val="10"/>
        <rFont val="Symbol"/>
        <family val="1"/>
      </rPr>
      <t>x</t>
    </r>
    <r>
      <rPr>
        <vertAlign val="superscript"/>
        <sz val="10"/>
        <rFont val="Times New Roman"/>
        <family val="1"/>
      </rPr>
      <t xml:space="preserve"> +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x</t>
    </r>
    <r>
      <rPr>
        <vertAlign val="superscript"/>
        <sz val="10"/>
        <rFont val="Times New Roman"/>
        <family val="1"/>
      </rPr>
      <t>-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sono sempre le stesse:</t>
    </r>
  </si>
  <si>
    <r>
      <t>calcolo della coordinata x</t>
    </r>
    <r>
      <rPr>
        <vertAlign val="subscript"/>
        <sz val="10"/>
        <rFont val="Times New Roman"/>
        <family val="1"/>
      </rPr>
      <t xml:space="preserve"> 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parete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</t>
    </r>
  </si>
  <si>
    <r>
      <t xml:space="preserve"> I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1/12 L (h-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 xml:space="preserve">I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</si>
  <si>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calcolo della coordinata x</t>
    </r>
    <r>
      <rPr>
        <vertAlign val="subscript"/>
        <sz val="10"/>
        <rFont val="Times New Roman"/>
        <family val="1"/>
      </rPr>
      <t xml:space="preserve"> 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della parete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</t>
    </r>
  </si>
  <si>
    <r>
      <t>calcolo del momento statico M</t>
    </r>
    <r>
      <rPr>
        <vertAlign val="superscript"/>
        <sz val="10"/>
        <rFont val="Times New Roman"/>
        <family val="1"/>
      </rPr>
      <t xml:space="preserve"> 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depressione":</t>
    </r>
  </si>
  <si>
    <r>
      <t xml:space="preserve">        I</t>
    </r>
    <r>
      <rPr>
        <sz val="6"/>
        <rFont val="Times New Roman"/>
        <family val="1"/>
      </rPr>
      <t>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1/12 L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</t>
    </r>
    <r>
      <rPr>
        <vertAlign val="subscript"/>
        <sz val="6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|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</si>
  <si>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6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= h-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 xml:space="preserve">I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/2+</t>
    </r>
    <r>
      <rPr>
        <sz val="10"/>
        <color indexed="10"/>
        <rFont val="Times New Roman"/>
        <family val="1"/>
      </rPr>
      <t>|</t>
    </r>
    <r>
      <rPr>
        <sz val="10"/>
        <rFont val="Symbol"/>
        <family val="1"/>
      </rPr>
      <t>x</t>
    </r>
    <r>
      <rPr>
        <vertAlign val="superscript"/>
        <sz val="10"/>
        <rFont val="Times New Roman"/>
        <family val="1"/>
      </rPr>
      <t>-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=</t>
    </r>
  </si>
  <si>
    <r>
      <t xml:space="preserve">                          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vertAlign val="subscript"/>
        <sz val="10"/>
        <rFont val="Times New Roman"/>
        <family val="1"/>
      </rPr>
      <t xml:space="preserve"> </t>
    </r>
    <r>
      <rPr>
        <sz val="6"/>
        <rFont val="Times New Roman"/>
        <family val="1"/>
      </rPr>
      <t>+</t>
    </r>
    <r>
      <rPr>
        <sz val="10"/>
        <rFont val="Times New Roman"/>
        <family val="1"/>
      </rPr>
      <t xml:space="preserve"> = (h-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 xml:space="preserve">I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)/2-</t>
    </r>
    <r>
      <rPr>
        <sz val="10"/>
        <rFont val="Symbol"/>
        <family val="1"/>
      </rPr>
      <t>x</t>
    </r>
    <r>
      <rPr>
        <vertAlign val="superscript"/>
        <sz val="10"/>
        <rFont val="Times New Roman"/>
        <family val="1"/>
      </rPr>
      <t>+</t>
    </r>
    <r>
      <rPr>
        <sz val="6"/>
        <rFont val="Times New Roman"/>
        <family val="1"/>
      </rPr>
      <t xml:space="preserve">0 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</si>
  <si>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           b</t>
    </r>
    <r>
      <rPr>
        <vertAlign val="superscript"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S</t>
    </r>
    <r>
      <rPr>
        <vertAlign val="subscript"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= [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S</t>
    </r>
    <r>
      <rPr>
        <sz val="6"/>
        <rFont val="Times New Roman"/>
        <family val="1"/>
      </rPr>
      <t xml:space="preserve">g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+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 xml:space="preserve"> -</t>
    </r>
    <r>
      <rPr>
        <sz val="6"/>
        <rFont val="Symbol"/>
        <family val="1"/>
      </rPr>
      <t>g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 -</t>
    </r>
    <r>
      <rPr>
        <sz val="10"/>
        <rFont val="Times New Roman"/>
        <family val="1"/>
      </rPr>
      <t xml:space="preserve"> - S</t>
    </r>
    <r>
      <rPr>
        <vertAlign val="superscript"/>
        <sz val="10"/>
        <rFont val="Times New Roman"/>
        <family val="1"/>
      </rPr>
      <t xml:space="preserve"> 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6"/>
        <rFont val="Times New Roman"/>
        <family val="1"/>
      </rPr>
      <t>+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]/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S</t>
    </r>
    <r>
      <rPr>
        <sz val="6"/>
        <rFont val="Times New Roman"/>
        <family val="1"/>
      </rPr>
      <t>PQ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=</t>
    </r>
  </si>
  <si>
    <r>
      <t xml:space="preserve">Il fluido interno al recipiente esercita normalmente alla paratoia una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, che "punta" dal recipiente verso la partoia stessa.</t>
    </r>
    <r>
      <rPr>
        <b/>
        <sz val="10"/>
        <rFont val="Times New Roman"/>
        <family val="1"/>
      </rPr>
      <t xml:space="preserve"> S</t>
    </r>
    <r>
      <rPr>
        <sz val="10"/>
        <rFont val="Times New Roman"/>
        <family val="1"/>
      </rPr>
      <t xml:space="preserve"> e applicata più</t>
    </r>
  </si>
  <si>
    <r>
      <t xml:space="preserve">in basso del baricentro. La sua azione dà luogo ad un momento rispetto alla cerniera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ove la paratoia è vincolata. La forza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,  perpendicolare </t>
    </r>
  </si>
  <si>
    <r>
      <t xml:space="preserve">alla parete, come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, ha però verso opposto ed ha una diversa retta d'azione. Affinchè ci sia equilibrio è necessario che il suo momento rispetto</t>
    </r>
  </si>
  <si>
    <r>
      <t xml:space="preserve">alla cerniera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riesca ad equilibrare quello generato dal fluido. In altre parole è necessario che:</t>
    </r>
  </si>
  <si>
    <r>
      <t>ovvero, chiamato b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il braccio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rispetto alla cerniera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e assunto positivo il verso antiorario di rotazione:</t>
    </r>
  </si>
  <si>
    <r>
      <t xml:space="preserve">cerniera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.</t>
    </r>
  </si>
  <si>
    <r>
      <t xml:space="preserve">Quindi, essendo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un dato noto, l'esercizio si risolve andando a determinare i valori del modulo S del vettore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e del suo braccio b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rispetto alla </t>
    </r>
  </si>
  <si>
    <r>
      <t xml:space="preserve">affondamento del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della paratoia rispetto al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</si>
  <si>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pressione nel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>:</t>
    </r>
  </si>
  <si>
    <t>area della superficie premuta:</t>
  </si>
  <si>
    <r>
      <t>Il calcolo del braccio b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richiede la determinazione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poichè b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è chiaramente pari ad a/2+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.</t>
    </r>
  </si>
  <si>
    <r>
      <t xml:space="preserve">Anche per il calcolo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, lo schema da seguire è sempre lo stesso già incontrato.</t>
    </r>
  </si>
  <si>
    <r>
      <t>calcolo della coordinata x</t>
    </r>
    <r>
      <rPr>
        <sz val="6"/>
        <rFont val="Times New Roman"/>
        <family val="1"/>
      </rPr>
      <t xml:space="preserve"> G </t>
    </r>
    <r>
      <rPr>
        <sz val="10"/>
        <rFont val="Times New Roman"/>
        <family val="1"/>
      </rPr>
      <t xml:space="preserve">del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della paratoia, misurata a partire dalla </t>
    </r>
  </si>
  <si>
    <r>
      <t xml:space="preserve">calcolo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</si>
  <si>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 xml:space="preserve">e quindi il modulo di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varrà:</t>
    </r>
  </si>
  <si>
    <r>
      <t>Determinare</t>
    </r>
    <r>
      <rPr>
        <sz val="10"/>
        <rFont val="Times New Roman"/>
        <family val="1"/>
      </rPr>
      <t xml:space="preserve"> la coppia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che è necessario applicare all'otturatore affinchè esso non ruoti attorno all'asse di traccia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>.</t>
    </r>
  </si>
  <si>
    <r>
      <t xml:space="preserve">fatto che questa sia positiva o negativa, la sua azione risultante sulla parete dell'otturatore avrà direzione passante per la cerniera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>. Dunque essa</t>
    </r>
  </si>
  <si>
    <r>
      <t xml:space="preserve">Viceversa, il liquido di peso specifico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avendo una distribuzione di pressioni idrostatica darà luogo ad una risultante sulla parete dell'otturatore </t>
    </r>
  </si>
  <si>
    <r>
      <t xml:space="preserve">che si troverà spostata rispetto al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della quantità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/M e di conseguenza tenderà a far ruotare la valvola. Per impedire questa </t>
    </r>
  </si>
  <si>
    <r>
      <t xml:space="preserve">rotazione è necessario applicare dall'esterno del sistema una coppia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che si opponga all'azione del liquido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 L'equazione risolvente sarà allora:</t>
    </r>
  </si>
  <si>
    <t xml:space="preserve">nella quale il modulo della spinta e l'"eccentricità" della sua retta d'azione sono indicate in modulo perché, come si vedrà, essendo il liquido in </t>
  </si>
  <si>
    <t>depressione il calcolo condurrà a valori negativi per entrambe le quantità.</t>
  </si>
  <si>
    <r>
      <t xml:space="preserve">Il calcolo del modulo S avviene, previa determinazione della posizione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tramite la pressione all'interfaccia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(per poter "entrare" nel </t>
    </r>
  </si>
  <si>
    <t>sistema) seguendo i soliti passi:</t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</si>
  <si>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</si>
  <si>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r>
      <t xml:space="preserve">(si noti che il </t>
    </r>
    <r>
      <rPr>
        <sz val="10"/>
        <color indexed="10"/>
        <rFont val="Times New Roman"/>
        <family val="1"/>
      </rPr>
      <t>segno meno</t>
    </r>
    <r>
      <rPr>
        <sz val="10"/>
        <rFont val="Times New Roman"/>
        <family val="1"/>
      </rPr>
      <t xml:space="preserve"> va intuito osservando che il PCI del fluido manometrico è più im basso</t>
    </r>
  </si>
  <si>
    <r>
      <t xml:space="preserve">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>).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</si>
  <si>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</si>
  <si>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●  affondamento del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dell'otturatore rispetto al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</si>
  <si>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●  pressione nel baricentro 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>:</t>
    </r>
  </si>
  <si>
    <r>
      <t xml:space="preserve">invece,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 xml:space="preserve">01 </t>
    </r>
    <r>
      <rPr>
        <sz val="10"/>
        <rFont val="Times New Roman"/>
        <family val="1"/>
      </rPr>
      <t xml:space="preserve">rappresenterebbe la reazione della calotta del serbatoio, uguale ed opposta alla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esercitata dal fluido. Allora vale la relazione:</t>
    </r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</si>
  <si>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sarà radiale rispetto all'asse della calotta e "punterà" da questa verso il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che, nella traccia del disegno, </t>
    </r>
  </si>
  <si>
    <t>rappresenta l'asse stesso. Questo verso è determinato dal fatto che il fluido nel recipiente si trova in depressione.</t>
  </si>
  <si>
    <r>
      <t xml:space="preserve"> idealmente" con una superficie piana verticale, prosecuzione di quella di destra del recipiente. Su questo volume di solo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ora "isolato" </t>
    </r>
  </si>
  <si>
    <t>intervengono forze di massa e di superficie, risultanti di distribuzioni di pressione sul suo contorno determinate dalla posizione del PCI già</t>
  </si>
  <si>
    <r>
      <t xml:space="preserve">determinata sopra. In particolare, quindi, ci sarà una forza di massa corrisponde al peso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 fluido contenuto nel volume di controllo </t>
    </r>
  </si>
  <si>
    <r>
      <t>calcolabile come prodotto del volume W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per il peso specifico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</t>
    </r>
  </si>
  <si>
    <r>
      <t xml:space="preserve">Ci saranno poi due forze di superficie,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02</t>
    </r>
    <r>
      <rPr>
        <sz val="10"/>
        <rFont val="Times New Roman"/>
        <family val="1"/>
      </rPr>
      <t xml:space="preserve">, agenti rispettivamente sulle parti piana e curva della superficie di chiusura. Il modulo della </t>
    </r>
  </si>
  <si>
    <t>passante per il baricentro del volume di controllo).</t>
  </si>
  <si>
    <r>
      <t xml:space="preserve">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sz val="10"/>
        <rFont val="Times New Roman"/>
        <family val="1"/>
      </rPr>
      <t xml:space="preserve"> sulla parete piana si calcola agevolmente con i consueti passaggi.</t>
    </r>
  </si>
  <si>
    <r>
      <t xml:space="preserve">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, ma più in alto.</t>
    </r>
  </si>
  <si>
    <t>l'interno del recipiente (poiché si tratta di una trazione relativa).</t>
  </si>
  <si>
    <r>
      <t xml:space="preserve">pressioni di cui è risultante sono radiali "spiccate" proprio da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che è la traccia dell'asse di curvatura della calotta. Essa "punterà" da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verso</t>
    </r>
  </si>
  <si>
    <t>orizzontali delle pressioni ivi agenti. Ne consegue che il calcolo necessario a determinare questa componente è quello solito che si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</si>
  <si>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della proiezione piana:</t>
    </r>
  </si>
  <si>
    <r>
      <t>●  pressione nel baricentro</t>
    </r>
    <r>
      <rPr>
        <b/>
        <sz val="10"/>
        <rFont val="Times New Roman"/>
        <family val="1"/>
      </rPr>
      <t xml:space="preserve"> 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</si>
  <si>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t xml:space="preserve">componenti orizzontali delle pressioni agenti sulla calotta hanno tutte verso contrario a quello di </t>
  </si>
  <si>
    <t>(trattandosi di una trazione relativa).</t>
  </si>
  <si>
    <r>
      <t xml:space="preserve">x - ed è applicata nel 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ma più in alto </t>
    </r>
  </si>
  <si>
    <r>
      <t>La componente verticale 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corrisponde invece al peso del volume liquido immaginato compreso tra la calotta ed il PCI del fluido. A tale</t>
    </r>
  </si>
  <si>
    <t>delle pressioni ivi prementi hanno verso opposto all'asse z; mentre riguardo al volume compreso tra il PCI e la parte di calotta con convessità</t>
  </si>
  <si>
    <t>verso il basso il verso delle componenti verticali delle pressioni è concorde con z. Questo significa che bisognerà considerare la differenza di due</t>
  </si>
  <si>
    <t>pesi:</t>
  </si>
  <si>
    <r>
      <t>W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B1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DL-1/4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/4L</t>
    </r>
    <r>
      <rPr>
        <sz val="9"/>
        <rFont val="Times New Roman"/>
        <family val="1"/>
      </rPr>
      <t xml:space="preserve"> =</t>
    </r>
  </si>
  <si>
    <r>
      <t>sarà il modulo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che si ottiene sommando in quadratura le due componenti ed estraendone la radice quadrata.</t>
    </r>
  </si>
  <si>
    <t xml:space="preserve">Naturalmente, poiché le componenti calcolate con il metodo delle componenti sono le stesse ottenute applicando l'equilibrio globale, identico </t>
  </si>
  <si>
    <r>
      <t xml:space="preserve">applicata nel 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, ma più in alto (trattandosi di</t>
    </r>
  </si>
  <si>
    <r>
      <t>●  pressione nel baricentro</t>
    </r>
    <r>
      <rPr>
        <b/>
        <sz val="10"/>
        <rFont val="Times New Roman"/>
        <family val="1"/>
      </rPr>
      <t xml:space="preserve"> 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</si>
  <si>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>La componente verticale 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corrisponde invece (come accadeva per la calotta 1) al peso del volume liquido immaginato compreso tra la calotta</t>
    </r>
  </si>
  <si>
    <t>ed il PCI del fluido. Anche per questa superficie bisogna fare attenzione al fatto che nel volume compreso tra il PCI e la parte di calotta con</t>
  </si>
  <si>
    <t>convessità verso l'alto, le componenti verticali delle pressioni ivi prementi hanno il verso dell'asse z; mentre per il volume compreso tra il PCI e la</t>
  </si>
  <si>
    <t>ancora una volta bisognerà considerare la differenza di due pesi:</t>
  </si>
  <si>
    <t xml:space="preserve">parte di calotta con convessità verso il basso il verso delle componenti verticali delle pressioni è discorde a quello di z. Questo comporta che </t>
  </si>
  <si>
    <t>Esattamente come visto per la calotta 1, anche qui le componenti calcolatemediante questo metodo sono le stesse ottenute utilizzando  il metodo</t>
  </si>
  <si>
    <r>
      <t>dell'equilibrio globale, quindi identico sarà anche il modulo S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si ottiene sommando in quadratura le due componenti ed </t>
    </r>
  </si>
  <si>
    <r>
      <t xml:space="preserve">come già visto, la spinta del gas ha retta d'azione passante per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; quelle delle spinte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vanno ricercate compiendo i passi di seguito </t>
    </r>
  </si>
  <si>
    <r>
      <t>● calcolo della coordinata x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parete</t>
    </r>
  </si>
  <si>
    <r>
      <t>● calcolo della coordinata x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parete</t>
    </r>
  </si>
  <si>
    <r>
      <t>● calcolo del momento d'inerzia della superficie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premuta</t>
    </r>
  </si>
  <si>
    <r>
      <t xml:space="preserve">   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rispetto ad un asse baricentrale parallelo alla retta di</t>
    </r>
  </si>
  <si>
    <r>
      <t>● calcolo del momento d'inerzia della superficie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, premuta</t>
    </r>
  </si>
  <si>
    <r>
      <t xml:space="preserve">   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, rispetto ad un asse baricentrale parallelo alla retta di</t>
    </r>
  </si>
  <si>
    <r>
      <t>nella quale r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è l'unica incognita ed i bracci delle spinte componenti sono calcolabili come di seguito indicato:</t>
    </r>
  </si>
  <si>
    <r>
      <t>Ora, la determinazione della distanza r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del risultante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AA</t>
    </r>
    <r>
      <rPr>
        <sz val="10"/>
        <rFont val="Times New Roman"/>
        <family val="1"/>
      </rPr>
      <t xml:space="preserve"> rispetto alla sommità della parete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 viene eseguita imponendo che il  </t>
    </r>
  </si>
  <si>
    <r>
      <t xml:space="preserve">momento esercitato da detto risultante rispetto alla retta passante per il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in sommità (e perpendicolare al piano del disegno) sia </t>
    </r>
  </si>
  <si>
    <t>uguale a quello determinato dalle spinte componenti. Cioè, assumendo come positivo il senso di rotazione antiorario, dovrà essere:</t>
  </si>
  <si>
    <r>
      <t xml:space="preserve">all'interfaccia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tra il suddetto fluido e quello presente nel manometro semplice.</t>
    </r>
  </si>
  <si>
    <r>
      <t xml:space="preserve">dunque il PCI si trova al di sopra dell'interfaccia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dell'altezza piezometrica:</t>
    </r>
  </si>
  <si>
    <t xml:space="preserve">questa spinta è orizzontale, con il verso opposto ad x, </t>
  </si>
  <si>
    <r>
      <t xml:space="preserve">tratta una </t>
    </r>
    <r>
      <rPr>
        <i/>
        <sz val="10"/>
        <rFont val="Times New Roman"/>
        <family val="1"/>
      </rPr>
      <t>trazione relativa</t>
    </r>
    <r>
      <rPr>
        <sz val="10"/>
        <rFont val="Times New Roman"/>
        <family val="1"/>
      </rPr>
      <t>.</t>
    </r>
  </si>
  <si>
    <t>questa spinta è orizzontale, con il verso dell'asse x</t>
  </si>
  <si>
    <t xml:space="preserve"> (essendouna trazione relativa), ed è applicata nel centro</t>
  </si>
  <si>
    <r>
      <t>chiusura</t>
    </r>
    <r>
      <rPr>
        <sz val="10"/>
        <rFont val="Times New Roman"/>
        <family val="1"/>
      </rPr>
      <t xml:space="preserve"> sarà allora formata da una parte piana che è "l'ideale" prosecuzione di quella verticale di destra del recipiente e da una parte curva che</t>
    </r>
  </si>
  <si>
    <t>che è identica alla calotta stessa. Per garantire l'equilibrio del volume fluido così isolato è necessario che la somma delle forze di massa e di</t>
  </si>
  <si>
    <t xml:space="preserve">superficie ad esso applicate dia risultante nulla. Naturalmente è altresì necessario che le forze di superficie siano tali da garantire al volume </t>
  </si>
  <si>
    <t>"isolato" la forma che esso ha nel sistema reale e che ciascuna delle pressioni agenti abbia come riferimento il PCI precedentemente individuato.</t>
  </si>
  <si>
    <r>
      <t xml:space="preserve">Nello specifico, la forza di massa agente corrisponde al peso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 fluido contenuto nel volume di controllo ed è calcolabile come prodotto del</t>
    </r>
  </si>
  <si>
    <r>
      <t>volume W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per il peso specifico del fluido.</t>
    </r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</si>
  <si>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parete piana:</t>
    </r>
  </si>
  <si>
    <r>
      <t xml:space="preserve">●  pressione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</si>
  <si>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 xml:space="preserve">        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-d+h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</si>
  <si>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D L =</t>
    </r>
  </si>
  <si>
    <r>
      <t xml:space="preserve">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, ma più in basso.</t>
    </r>
  </si>
  <si>
    <r>
      <t xml:space="preserve">e poiché, come si è visto, sia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che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sono noti (vettorialmente) anche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lo è. Essa ha dunque componenti:</t>
    </r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</si>
  <si>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sarà chiaramente passante per l'asse della calotta (il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nel disegno) poiché le pressioni di cui è risultante </t>
    </r>
  </si>
  <si>
    <r>
      <t xml:space="preserve">sono radiali "spiccate" proprio da tale asse che nel disegno rappresenta il centro di curvatura della calotta. Essa "punterà" da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verso la </t>
    </r>
  </si>
  <si>
    <r>
      <t xml:space="preserve">Il vettore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è verticale, diretto verso il basso, con retta d'azione passante per il baricentro del volume di controllo.</t>
    </r>
  </si>
  <si>
    <r>
      <t xml:space="preserve">Ci saranno poi due forze di superficie,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02</t>
    </r>
    <r>
      <rPr>
        <sz val="10"/>
        <rFont val="Times New Roman"/>
        <family val="1"/>
      </rPr>
      <t xml:space="preserve">, agenti rispettivamente sulle parti piana e curva della superficie di chiusura. Il modulo della </t>
    </r>
    <r>
      <rPr>
        <sz val="10"/>
        <rFont val="Times New Roman"/>
        <family val="1"/>
      </rPr>
      <t xml:space="preserve"> </t>
    </r>
  </si>
  <si>
    <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(2)</t>
    </r>
    <r>
      <rPr>
        <sz val="10"/>
        <rFont val="Times New Roman"/>
        <family val="1"/>
      </rPr>
      <t xml:space="preserve"> le spinte sulle porzioni di superficie piana costituite dai due liquidi e con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(1, 2)</t>
    </r>
    <r>
      <rPr>
        <sz val="10"/>
        <rFont val="Times New Roman"/>
        <family val="1"/>
      </rPr>
      <t xml:space="preserve"> la spinta complessivamente esercitata sulla</t>
    </r>
  </si>
  <si>
    <t>curva, l'equazione di equilibrio statico applicata al volume di controllo si scrive:</t>
  </si>
  <si>
    <r>
      <t xml:space="preserve">Il vettore </t>
    </r>
    <r>
      <rPr>
        <b/>
        <sz val="10"/>
        <rFont val="Times New Roman"/>
        <family val="1"/>
      </rPr>
      <t>G(1)</t>
    </r>
    <r>
      <rPr>
        <sz val="10"/>
        <rFont val="Times New Roman"/>
        <family val="1"/>
      </rPr>
      <t xml:space="preserve"> è verticale, diretto verso il basso, con retta </t>
    </r>
  </si>
  <si>
    <t xml:space="preserve">d'azione  passante per il  baricentro della parte di volume di </t>
  </si>
  <si>
    <r>
      <t xml:space="preserve">controllo occupata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.</t>
    </r>
  </si>
  <si>
    <r>
      <t xml:space="preserve">Il vettore </t>
    </r>
    <r>
      <rPr>
        <b/>
        <sz val="10"/>
        <rFont val="Times New Roman"/>
        <family val="1"/>
      </rPr>
      <t>G(2)</t>
    </r>
    <r>
      <rPr>
        <sz val="10"/>
        <rFont val="Times New Roman"/>
        <family val="1"/>
      </rPr>
      <t xml:space="preserve"> è verticale, diretto verso il basso, con retta  </t>
    </r>
  </si>
  <si>
    <t xml:space="preserve">d'azione passante per il  baricentro della parte di volume di </t>
  </si>
  <si>
    <r>
      <t xml:space="preserve">affondamento del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parte di superficie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</t>
    </r>
  </si>
  <si>
    <r>
      <t xml:space="preserve">     h</t>
    </r>
    <r>
      <rPr>
        <sz val="6"/>
        <rFont val="Times New Roman"/>
        <family val="1"/>
      </rPr>
      <t>G</t>
    </r>
    <r>
      <rPr>
        <vertAlign val="superscript"/>
        <sz val="9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=( h -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 xml:space="preserve">I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)/2 =</t>
    </r>
  </si>
  <si>
    <r>
      <t xml:space="preserve">pressione", rispetto al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stesso:</t>
    </r>
  </si>
  <si>
    <r>
      <t xml:space="preserve">pressione nel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</si>
  <si>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affondamento del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parte di superficie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</t>
    </r>
  </si>
  <si>
    <r>
      <t>h</t>
    </r>
    <r>
      <rPr>
        <sz val="6"/>
        <rFont val="Times New Roman"/>
        <family val="1"/>
      </rPr>
      <t>G</t>
    </r>
    <r>
      <rPr>
        <vertAlign val="superscript"/>
        <sz val="9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=h</t>
    </r>
    <r>
      <rPr>
        <sz val="6"/>
        <rFont val="Times New Roman"/>
        <family val="1"/>
      </rPr>
      <t xml:space="preserve">I </t>
    </r>
    <r>
      <rPr>
        <sz val="10"/>
        <rFont val="Times New Roman"/>
        <family val="1"/>
      </rPr>
      <t>/2 =</t>
    </r>
  </si>
  <si>
    <r>
      <t xml:space="preserve">pressione nel baricentro </t>
    </r>
    <r>
      <rPr>
        <b/>
        <sz val="10"/>
        <rFont val="Times New Roman"/>
        <family val="1"/>
      </rPr>
      <t>G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</si>
  <si>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 A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 xml:space="preserve">I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 xml:space="preserve"> L =</t>
    </r>
  </si>
  <si>
    <r>
      <t xml:space="preserve">Poiché, come si è detto, le forze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</t>
    </r>
    <r>
      <rPr>
        <b/>
        <sz val="10"/>
        <rFont val="Times New Roman"/>
        <family val="1"/>
      </rPr>
      <t xml:space="preserve"> 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sono parallele ma non equiverse, preso positivo il verso di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, il modulo della spinta totale su</t>
    </r>
  </si>
  <si>
    <r>
      <t>PQ</t>
    </r>
    <r>
      <rPr>
        <sz val="10"/>
        <rFont val="Times New Roman"/>
        <family val="1"/>
      </rPr>
      <t xml:space="preserve"> risulta pari a:</t>
    </r>
  </si>
  <si>
    <r>
      <t xml:space="preserve">medesimo polo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>. In altre parole, occorre determinare il braccio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della forza risultante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rispetto a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. </t>
    </r>
  </si>
  <si>
    <r>
      <t xml:space="preserve">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R L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</si>
  <si>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1g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</si>
  <si>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1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</si>
  <si>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1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</si>
  <si>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S</t>
    </r>
    <r>
      <rPr>
        <sz val="6"/>
        <rFont val="Times New Roman"/>
        <family val="1"/>
      </rPr>
      <t>CD x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1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|/2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</si>
  <si>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S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= [(S</t>
    </r>
    <r>
      <rPr>
        <sz val="6"/>
        <rFont val="Times New Roman"/>
        <family val="1"/>
      </rPr>
      <t>CD 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+(S</t>
    </r>
    <r>
      <rPr>
        <sz val="6"/>
        <rFont val="Times New Roman"/>
        <family val="1"/>
      </rPr>
      <t>CD z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</si>
  <si>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      S</t>
    </r>
    <r>
      <rPr>
        <sz val="6"/>
        <rFont val="Times New Roman"/>
        <family val="1"/>
      </rPr>
      <t>CD z</t>
    </r>
    <r>
      <rPr>
        <sz val="10"/>
        <rFont val="Times New Roman"/>
        <family val="1"/>
      </rPr>
      <t xml:space="preserve"> = 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1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|/2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- 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</si>
  <si>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il segno positivo indica che questo vettore ha lo stesso verso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</si>
  <si>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Per determinare la posizione della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AA</t>
    </r>
    <r>
      <rPr>
        <sz val="10"/>
        <rFont val="Times New Roman"/>
        <family val="1"/>
      </rPr>
      <t xml:space="preserve"> è necessario individuare precedentemente quella delle spinte componenti. Ora,</t>
    </r>
  </si>
  <si>
    <t>indicati.</t>
  </si>
  <si>
    <r>
      <t xml:space="preserve">       h</t>
    </r>
    <r>
      <rPr>
        <vertAlign val="subscript"/>
        <sz val="10"/>
        <rFont val="Times New Roman"/>
        <family val="1"/>
      </rPr>
      <t>B2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</si>
  <si>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</si>
  <si>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</si>
  <si>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h</t>
    </r>
    <r>
      <rPr>
        <vertAlign val="subscript"/>
        <sz val="10"/>
        <rFont val="Times New Roman"/>
        <family val="1"/>
      </rPr>
      <t>B1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*(L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)-Z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</si>
  <si>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B1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</si>
  <si>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</si>
  <si>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Nel sistema di riferimento </t>
    </r>
    <r>
      <rPr>
        <i/>
        <sz val="10"/>
        <rFont val="Symbol"/>
        <family val="1"/>
      </rPr>
      <t>x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h</t>
    </r>
    <r>
      <rPr>
        <sz val="10"/>
        <rFont val="Times New Roman"/>
        <family val="1"/>
      </rPr>
      <t xml:space="preserve">, il più comodo in effetti (quattro forze sono parallele all'asse </t>
    </r>
    <r>
      <rPr>
        <i/>
        <sz val="10"/>
        <rFont val="Symbol"/>
        <family val="1"/>
      </rPr>
      <t>x</t>
    </r>
    <r>
      <rPr>
        <sz val="10"/>
        <rFont val="Times New Roman"/>
        <family val="1"/>
      </rPr>
      <t xml:space="preserve"> - si evincono le seguenti </t>
    </r>
  </si>
  <si>
    <t>componenti:</t>
  </si>
  <si>
    <r>
      <t>S</t>
    </r>
    <r>
      <rPr>
        <sz val="7"/>
        <rFont val="Symbol"/>
        <family val="1"/>
      </rPr>
      <t>x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-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+ G*sen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+ G*sen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 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</si>
  <si>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Symbol"/>
        <family val="1"/>
      </rPr>
      <t>x</t>
    </r>
    <r>
      <rPr>
        <sz val="10"/>
        <rFont val="Times New Roman"/>
        <family val="1"/>
      </rPr>
      <t xml:space="preserve"> ha verso concorde con quello dell'asse </t>
    </r>
    <r>
      <rPr>
        <i/>
        <sz val="10"/>
        <rFont val="Symbol"/>
        <family val="1"/>
      </rPr>
      <t>x</t>
    </r>
    <r>
      <rPr>
        <sz val="10"/>
        <rFont val="Times New Roman"/>
        <family val="1"/>
      </rPr>
      <t xml:space="preserve">. </t>
    </r>
  </si>
  <si>
    <r>
      <t>S</t>
    </r>
    <r>
      <rPr>
        <sz val="7"/>
        <rFont val="Symbol"/>
        <family val="1"/>
      </rPr>
      <t>h</t>
    </r>
    <r>
      <rPr>
        <sz val="10"/>
        <rFont val="Times New Roman"/>
        <family val="1"/>
      </rPr>
      <t xml:space="preserve"> = - G*cos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 </t>
    </r>
  </si>
  <si>
    <r>
      <t xml:space="preserve">Dal segno negativo si deduce che </t>
    </r>
    <r>
      <rPr>
        <i/>
        <sz val="10"/>
        <rFont val="Times New Roman"/>
        <family val="1"/>
      </rPr>
      <t>S</t>
    </r>
    <r>
      <rPr>
        <i/>
        <sz val="6"/>
        <rFont val="Symbol"/>
        <family val="1"/>
      </rPr>
      <t>h</t>
    </r>
    <r>
      <rPr>
        <sz val="10"/>
        <rFont val="Times New Roman"/>
        <family val="1"/>
      </rPr>
      <t xml:space="preserve"> ha verso discorde con quello dell'asse </t>
    </r>
    <r>
      <rPr>
        <i/>
        <sz val="10"/>
        <rFont val="Symbol"/>
        <family val="1"/>
      </rPr>
      <t>h</t>
    </r>
    <r>
      <rPr>
        <i/>
        <sz val="10"/>
        <rFont val="Times New Roman"/>
        <family val="1"/>
      </rPr>
      <t xml:space="preserve">. </t>
    </r>
  </si>
  <si>
    <t>Infine, il modulo vale:</t>
  </si>
  <si>
    <r>
      <t>S = [S</t>
    </r>
    <r>
      <rPr>
        <sz val="6"/>
        <rFont val="Symbol"/>
        <family val="1"/>
      </rPr>
      <t>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Symbol"/>
        <family val="1"/>
      </rPr>
      <t>h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</si>
  <si>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t>Esercizio 55</t>
  </si>
  <si>
    <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</si>
  <si>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</si>
  <si>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>m(</t>
    </r>
    <r>
      <rPr>
        <sz val="10"/>
        <rFont val="Symbol"/>
        <family val="1"/>
      </rPr>
      <t>b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) =</t>
    </r>
  </si>
  <si>
    <r>
      <t>W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</si>
  <si>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le componenti della spinta agente sul tratto convergente+divergente.</t>
    </r>
  </si>
  <si>
    <t>Determinazione del salto utile</t>
  </si>
  <si>
    <r>
      <t xml:space="preserve">La determinazione del </t>
    </r>
    <r>
      <rPr>
        <i/>
        <sz val="10"/>
        <rFont val="Times New Roman"/>
        <family val="1"/>
      </rPr>
      <t>salto</t>
    </r>
    <r>
      <rPr>
        <sz val="10"/>
        <rFont val="Times New Roman"/>
        <family val="1"/>
      </rPr>
      <t xml:space="preserve"> utile avviene tramite applicazione della "definizione" di potenza ritraibile da una turbina.</t>
    </r>
  </si>
  <si>
    <r>
      <t xml:space="preserve">     W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Arial"/>
        <family val="0"/>
      </rPr>
      <t xml:space="preserve"> </t>
    </r>
  </si>
  <si>
    <t>da cui</t>
  </si>
  <si>
    <r>
      <t xml:space="preserve">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W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*Q) =</t>
    </r>
  </si>
  <si>
    <t>Determinazione delle perdite di carico necessarie al calcolo della spinta</t>
  </si>
  <si>
    <r>
      <t>0,5*V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</si>
  <si>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m(</t>
    </r>
    <r>
      <rPr>
        <sz val="10"/>
        <rFont val="Symbol"/>
        <family val="1"/>
      </rPr>
      <t>b</t>
    </r>
    <r>
      <rPr>
        <vertAlign val="superscript"/>
        <sz val="10"/>
        <rFont val="Symbol"/>
        <family val="1"/>
      </rPr>
      <t>*</t>
    </r>
    <r>
      <rPr>
        <sz val="10"/>
        <rFont val="Times New Roman"/>
        <family val="1"/>
      </rPr>
      <t>)(V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</si>
  <si>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Determinazione della spinta sul convegente+divergente</t>
  </si>
  <si>
    <r>
      <t>g</t>
    </r>
    <r>
      <rPr>
        <sz val="10"/>
        <rFont val="Times New Roman"/>
        <family val="1"/>
      </rPr>
      <t xml:space="preserve"> =</t>
    </r>
  </si>
  <si>
    <t>m</t>
  </si>
  <si>
    <t>Pa</t>
  </si>
  <si>
    <t>bar</t>
  </si>
  <si>
    <r>
      <t>D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</si>
  <si>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</t>
    </r>
  </si>
  <si>
    <t>N</t>
  </si>
  <si>
    <r>
      <t>a</t>
    </r>
    <r>
      <rPr>
        <sz val="10"/>
        <rFont val="Times New Roman"/>
        <family val="1"/>
      </rPr>
      <t xml:space="preserve"> =</t>
    </r>
  </si>
  <si>
    <t>°</t>
  </si>
  <si>
    <t>Nm</t>
  </si>
  <si>
    <r>
      <t>b</t>
    </r>
    <r>
      <rPr>
        <sz val="10"/>
        <rFont val="Times New Roman"/>
        <family val="1"/>
      </rPr>
      <t xml:space="preserve"> =</t>
    </r>
  </si>
  <si>
    <t>n =</t>
  </si>
  <si>
    <r>
      <t>l</t>
    </r>
    <r>
      <rPr>
        <sz val="10"/>
        <rFont val="Times New Roman"/>
        <family val="1"/>
      </rPr>
      <t xml:space="preserve"> =</t>
    </r>
  </si>
  <si>
    <t>L =</t>
  </si>
  <si>
    <r>
      <t>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</si>
  <si>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N/m</t>
    </r>
    <r>
      <rPr>
        <vertAlign val="superscript"/>
        <sz val="10"/>
        <rFont val="Times New Roman"/>
        <family val="1"/>
      </rPr>
      <t>3</t>
    </r>
  </si>
  <si>
    <t>a =</t>
  </si>
  <si>
    <r>
      <t>g</t>
    </r>
    <r>
      <rPr>
        <sz val="6"/>
        <rFont val="Times New Roman"/>
        <family val="1"/>
      </rPr>
      <t>m</t>
    </r>
    <r>
      <rPr>
        <sz val="10"/>
        <rFont val="Symbol"/>
        <family val="1"/>
      </rPr>
      <t xml:space="preserve">  =</t>
    </r>
  </si>
  <si>
    <t>C =</t>
  </si>
  <si>
    <t>N =</t>
  </si>
  <si>
    <r>
      <t>A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>/2*L</t>
    </r>
    <r>
      <rPr>
        <sz val="10"/>
        <color indexed="12"/>
        <rFont val="Arial"/>
        <family val="0"/>
      </rPr>
      <t xml:space="preserve"> =</t>
    </r>
  </si>
  <si>
    <r>
      <t>m</t>
    </r>
    <r>
      <rPr>
        <vertAlign val="superscript"/>
        <sz val="10"/>
        <color indexed="12"/>
        <rFont val="Times New Roman"/>
        <family val="1"/>
      </rPr>
      <t>2</t>
    </r>
  </si>
  <si>
    <r>
      <t>m</t>
    </r>
    <r>
      <rPr>
        <vertAlign val="superscript"/>
        <sz val="10"/>
        <color indexed="12"/>
        <rFont val="Times New Roman"/>
        <family val="1"/>
      </rPr>
      <t>3</t>
    </r>
  </si>
  <si>
    <r>
      <t>m</t>
    </r>
    <r>
      <rPr>
        <vertAlign val="superscript"/>
        <sz val="10"/>
        <color indexed="12"/>
        <rFont val="Times New Roman"/>
        <family val="1"/>
      </rPr>
      <t>4</t>
    </r>
  </si>
  <si>
    <r>
      <t>A</t>
    </r>
    <r>
      <rPr>
        <sz val="6"/>
        <color indexed="16"/>
        <rFont val="Times New Roman"/>
        <family val="1"/>
      </rPr>
      <t>aria</t>
    </r>
    <r>
      <rPr>
        <sz val="10"/>
        <color indexed="16"/>
        <rFont val="Times New Roman"/>
        <family val="1"/>
      </rPr>
      <t xml:space="preserve"> = </t>
    </r>
    <r>
      <rPr>
        <i/>
        <sz val="10"/>
        <color indexed="16"/>
        <rFont val="Times New Roman"/>
        <family val="1"/>
      </rPr>
      <t>l</t>
    </r>
    <r>
      <rPr>
        <sz val="10"/>
        <color indexed="16"/>
        <rFont val="Times New Roman"/>
        <family val="1"/>
      </rPr>
      <t>*L</t>
    </r>
    <r>
      <rPr>
        <sz val="10"/>
        <color indexed="16"/>
        <rFont val="Arial"/>
        <family val="0"/>
      </rPr>
      <t xml:space="preserve"> =</t>
    </r>
  </si>
  <si>
    <r>
      <t>m</t>
    </r>
    <r>
      <rPr>
        <vertAlign val="superscript"/>
        <sz val="10"/>
        <color indexed="16"/>
        <rFont val="Times New Roman"/>
        <family val="1"/>
      </rPr>
      <t>2</t>
    </r>
  </si>
  <si>
    <r>
      <t>S</t>
    </r>
    <r>
      <rPr>
        <sz val="6"/>
        <color indexed="16"/>
        <rFont val="Times New Roman"/>
        <family val="1"/>
      </rPr>
      <t>aria</t>
    </r>
    <r>
      <rPr>
        <sz val="10"/>
        <color indexed="16"/>
        <rFont val="Times New Roman"/>
        <family val="1"/>
      </rPr>
      <t xml:space="preserve"> = p</t>
    </r>
    <r>
      <rPr>
        <sz val="6"/>
        <color indexed="16"/>
        <rFont val="Times New Roman"/>
        <family val="1"/>
      </rPr>
      <t>gas</t>
    </r>
    <r>
      <rPr>
        <sz val="10"/>
        <color indexed="16"/>
        <rFont val="Times New Roman"/>
        <family val="1"/>
      </rPr>
      <t>*A</t>
    </r>
    <r>
      <rPr>
        <sz val="6"/>
        <color indexed="16"/>
        <rFont val="Times New Roman"/>
        <family val="1"/>
      </rPr>
      <t>aria</t>
    </r>
    <r>
      <rPr>
        <sz val="10"/>
        <color indexed="16"/>
        <rFont val="Times New Roman"/>
        <family val="1"/>
      </rPr>
      <t xml:space="preserve"> =</t>
    </r>
  </si>
  <si>
    <r>
      <t>b</t>
    </r>
    <r>
      <rPr>
        <sz val="6"/>
        <color indexed="16"/>
        <rFont val="Times New Roman"/>
        <family val="1"/>
      </rPr>
      <t>aria</t>
    </r>
    <r>
      <rPr>
        <sz val="10"/>
        <color indexed="16"/>
        <rFont val="Times New Roman"/>
        <family val="1"/>
      </rPr>
      <t xml:space="preserve"> = </t>
    </r>
    <r>
      <rPr>
        <i/>
        <sz val="10"/>
        <color indexed="16"/>
        <rFont val="Times New Roman"/>
        <family val="1"/>
      </rPr>
      <t>l</t>
    </r>
    <r>
      <rPr>
        <sz val="10"/>
        <color indexed="16"/>
        <rFont val="Times New Roman"/>
        <family val="1"/>
      </rPr>
      <t>/2</t>
    </r>
    <r>
      <rPr>
        <sz val="10"/>
        <color indexed="16"/>
        <rFont val="Arial"/>
        <family val="0"/>
      </rPr>
      <t xml:space="preserve"> =</t>
    </r>
  </si>
  <si>
    <r>
      <t>p</t>
    </r>
    <r>
      <rPr>
        <sz val="6"/>
        <color indexed="20"/>
        <rFont val="Times New Roman"/>
        <family val="1"/>
      </rPr>
      <t>gas</t>
    </r>
    <r>
      <rPr>
        <sz val="10"/>
        <color indexed="20"/>
        <rFont val="Times New Roman"/>
        <family val="1"/>
      </rPr>
      <t xml:space="preserve"> = n[Pa]-</t>
    </r>
    <r>
      <rPr>
        <sz val="10"/>
        <color indexed="20"/>
        <rFont val="Symbol"/>
        <family val="1"/>
      </rPr>
      <t>g</t>
    </r>
    <r>
      <rPr>
        <sz val="10"/>
        <color indexed="20"/>
        <rFont val="Times New Roman"/>
        <family val="1"/>
      </rPr>
      <t>*h</t>
    </r>
    <r>
      <rPr>
        <sz val="6"/>
        <color indexed="20"/>
        <rFont val="Times New Roman"/>
        <family val="1"/>
      </rPr>
      <t>1</t>
    </r>
    <r>
      <rPr>
        <sz val="10"/>
        <color indexed="20"/>
        <rFont val="Times New Roman"/>
        <family val="1"/>
      </rPr>
      <t>/2 =</t>
    </r>
  </si>
  <si>
    <r>
      <t>A</t>
    </r>
    <r>
      <rPr>
        <sz val="6"/>
        <color indexed="20"/>
        <rFont val="Times New Roman"/>
        <family val="1"/>
      </rPr>
      <t>gas, orizz.</t>
    </r>
    <r>
      <rPr>
        <sz val="10"/>
        <color indexed="20"/>
        <rFont val="Times New Roman"/>
        <family val="1"/>
      </rPr>
      <t xml:space="preserve"> = h</t>
    </r>
    <r>
      <rPr>
        <sz val="6"/>
        <color indexed="20"/>
        <rFont val="Times New Roman"/>
        <family val="1"/>
      </rPr>
      <t>1</t>
    </r>
    <r>
      <rPr>
        <sz val="10"/>
        <color indexed="20"/>
        <rFont val="Times New Roman"/>
        <family val="1"/>
      </rPr>
      <t>/2*L</t>
    </r>
    <r>
      <rPr>
        <sz val="10"/>
        <color indexed="20"/>
        <rFont val="Arial"/>
        <family val="0"/>
      </rPr>
      <t xml:space="preserve"> =</t>
    </r>
  </si>
  <si>
    <r>
      <t>m</t>
    </r>
    <r>
      <rPr>
        <vertAlign val="superscript"/>
        <sz val="10"/>
        <color indexed="20"/>
        <rFont val="Times New Roman"/>
        <family val="1"/>
      </rPr>
      <t>2</t>
    </r>
  </si>
  <si>
    <r>
      <t>b</t>
    </r>
    <r>
      <rPr>
        <sz val="6"/>
        <color indexed="20"/>
        <rFont val="Times New Roman"/>
        <family val="1"/>
      </rPr>
      <t>gas, orizz.</t>
    </r>
    <r>
      <rPr>
        <sz val="10"/>
        <color indexed="20"/>
        <rFont val="Times New Roman"/>
        <family val="1"/>
      </rPr>
      <t xml:space="preserve"> = h</t>
    </r>
    <r>
      <rPr>
        <sz val="6"/>
        <color indexed="20"/>
        <rFont val="Times New Roman"/>
        <family val="1"/>
      </rPr>
      <t>1</t>
    </r>
    <r>
      <rPr>
        <sz val="10"/>
        <color indexed="20"/>
        <rFont val="Times New Roman"/>
        <family val="1"/>
      </rPr>
      <t>/4</t>
    </r>
    <r>
      <rPr>
        <sz val="10"/>
        <color indexed="20"/>
        <rFont val="Arial"/>
        <family val="0"/>
      </rPr>
      <t xml:space="preserve"> =</t>
    </r>
  </si>
  <si>
    <r>
      <t>A</t>
    </r>
    <r>
      <rPr>
        <sz val="6"/>
        <color indexed="20"/>
        <rFont val="Times New Roman"/>
        <family val="1"/>
      </rPr>
      <t>gas, vert.</t>
    </r>
    <r>
      <rPr>
        <sz val="10"/>
        <color indexed="20"/>
        <rFont val="Times New Roman"/>
        <family val="1"/>
      </rPr>
      <t xml:space="preserve"> = </t>
    </r>
    <r>
      <rPr>
        <i/>
        <sz val="10"/>
        <color indexed="20"/>
        <rFont val="Times New Roman"/>
        <family val="1"/>
      </rPr>
      <t>l</t>
    </r>
    <r>
      <rPr>
        <sz val="10"/>
        <color indexed="20"/>
        <rFont val="Times New Roman"/>
        <family val="1"/>
      </rPr>
      <t>*L</t>
    </r>
    <r>
      <rPr>
        <sz val="10"/>
        <color indexed="20"/>
        <rFont val="Arial"/>
        <family val="0"/>
      </rPr>
      <t xml:space="preserve"> =</t>
    </r>
  </si>
  <si>
    <r>
      <t>b</t>
    </r>
    <r>
      <rPr>
        <sz val="6"/>
        <color indexed="20"/>
        <rFont val="Times New Roman"/>
        <family val="1"/>
      </rPr>
      <t>gas, vert.</t>
    </r>
    <r>
      <rPr>
        <sz val="10"/>
        <color indexed="20"/>
        <rFont val="Times New Roman"/>
        <family val="1"/>
      </rPr>
      <t xml:space="preserve"> = </t>
    </r>
    <r>
      <rPr>
        <i/>
        <sz val="10"/>
        <color indexed="20"/>
        <rFont val="Times New Roman"/>
        <family val="1"/>
      </rPr>
      <t>l</t>
    </r>
    <r>
      <rPr>
        <sz val="10"/>
        <color indexed="20"/>
        <rFont val="Times New Roman"/>
        <family val="1"/>
      </rPr>
      <t>/2</t>
    </r>
    <r>
      <rPr>
        <sz val="10"/>
        <color indexed="20"/>
        <rFont val="Arial"/>
        <family val="0"/>
      </rPr>
      <t xml:space="preserve"> =</t>
    </r>
  </si>
  <si>
    <r>
      <t xml:space="preserve">Determinazione di </t>
    </r>
    <r>
      <rPr>
        <b/>
        <u val="single"/>
        <sz val="10"/>
        <rFont val="Times New Roman"/>
        <family val="1"/>
      </rPr>
      <t>F</t>
    </r>
  </si>
  <si>
    <r>
      <t>F*h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gas, vert</t>
    </r>
    <r>
      <rPr>
        <sz val="10"/>
        <rFont val="Times New Roman"/>
        <family val="1"/>
      </rPr>
      <t>.*b</t>
    </r>
    <r>
      <rPr>
        <sz val="6"/>
        <rFont val="Times New Roman"/>
        <family val="1"/>
      </rPr>
      <t>gas, vert</t>
    </r>
    <r>
      <rPr>
        <sz val="10"/>
        <rFont val="Times New Roman"/>
        <family val="1"/>
      </rPr>
      <t>.+S</t>
    </r>
    <r>
      <rPr>
        <sz val="6"/>
        <rFont val="Times New Roman"/>
        <family val="1"/>
      </rPr>
      <t>gas, orizz.</t>
    </r>
    <r>
      <rPr>
        <sz val="10"/>
        <rFont val="Times New Roman"/>
        <family val="1"/>
      </rPr>
      <t>*b</t>
    </r>
    <r>
      <rPr>
        <sz val="6"/>
        <rFont val="Times New Roman"/>
        <family val="1"/>
      </rPr>
      <t>gas, orizz.</t>
    </r>
    <r>
      <rPr>
        <sz val="10"/>
        <rFont val="Times New Roman"/>
        <family val="1"/>
      </rPr>
      <t>-S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>*b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>-S</t>
    </r>
    <r>
      <rPr>
        <sz val="6"/>
        <rFont val="Symbol"/>
        <family val="1"/>
      </rPr>
      <t>g</t>
    </r>
    <r>
      <rPr>
        <sz val="10"/>
        <rFont val="Times New Roman"/>
        <family val="1"/>
      </rPr>
      <t>*b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0</t>
    </r>
  </si>
  <si>
    <r>
      <t xml:space="preserve">Determinazione di </t>
    </r>
    <r>
      <rPr>
        <i/>
        <u val="single"/>
        <sz val="10"/>
        <rFont val="Symbol"/>
        <family val="1"/>
      </rPr>
      <t>D</t>
    </r>
  </si>
  <si>
    <r>
      <t xml:space="preserve">Sul tratto con diametro 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montato un manometro differenziale grazie al quale è semplice risalire alla cadente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. Si tratta</t>
    </r>
  </si>
  <si>
    <t>dunque di un caso di determinazione della portata in condizioni di cadente nota. Al solito, le formule da usarsi sono le seguenti:</t>
  </si>
  <si>
    <r>
      <t xml:space="preserve">E' un po' impropria perché come si è visto, ci si trova prossimi al confine tra </t>
    </r>
    <r>
      <rPr>
        <i/>
        <sz val="10"/>
        <rFont val="Times New Roman"/>
        <family val="1"/>
      </rPr>
      <t>RTT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RAT</t>
    </r>
    <r>
      <rPr>
        <sz val="10"/>
        <rFont val="Times New Roman"/>
        <family val="1"/>
      </rPr>
      <t>.</t>
    </r>
  </si>
  <si>
    <r>
      <t xml:space="preserve">               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</si>
  <si>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/(2*g)+0,5*V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</si>
  <si>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Tubi scabri - formule di Citrini</t>
  </si>
  <si>
    <r>
      <t>l</t>
    </r>
    <r>
      <rPr>
        <b/>
        <sz val="10"/>
        <rFont val="Arial"/>
        <family val="0"/>
      </rPr>
      <t xml:space="preserve"> </t>
    </r>
    <r>
      <rPr>
        <b/>
        <sz val="10"/>
        <rFont val="Times New Roman"/>
        <family val="1"/>
      </rPr>
      <t>=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l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>*[1+8/(Re*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/D)]</t>
    </r>
  </si>
  <si>
    <r>
      <t>l</t>
    </r>
    <r>
      <rPr>
        <b/>
        <vertAlign val="sub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= (1/4)*[log</t>
    </r>
    <r>
      <rPr>
        <b/>
        <vertAlign val="subscript"/>
        <sz val="10"/>
        <rFont val="Times New Roman"/>
        <family val="1"/>
      </rPr>
      <t>10</t>
    </r>
    <r>
      <rPr>
        <b/>
        <sz val="10"/>
        <rFont val="Times New Roman"/>
        <family val="1"/>
      </rPr>
      <t>(3.71*D/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)]</t>
    </r>
    <r>
      <rPr>
        <b/>
        <vertAlign val="superscript"/>
        <sz val="10"/>
        <rFont val="Times New Roman"/>
        <family val="1"/>
      </rPr>
      <t>-2</t>
    </r>
  </si>
  <si>
    <r>
      <t>l</t>
    </r>
    <r>
      <rPr>
        <vertAlign val="subscript"/>
        <sz val="10"/>
        <rFont val="Times New Roman"/>
        <family val="1"/>
      </rPr>
      <t>00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</si>
  <si>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>l</t>
    </r>
    <r>
      <rPr>
        <vertAlign val="subscript"/>
        <sz val="10"/>
        <rFont val="Times New Roman"/>
        <family val="1"/>
      </rPr>
      <t>00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</si>
  <si>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l</t>
    </r>
    <r>
      <rPr>
        <sz val="6"/>
        <rFont val="Symbol"/>
        <family val="1"/>
      </rPr>
      <t>1</t>
    </r>
    <r>
      <rPr>
        <sz val="10"/>
        <rFont val="Symbol"/>
        <family val="1"/>
      </rPr>
      <t xml:space="preserve"> =</t>
    </r>
  </si>
  <si>
    <r>
      <t>l</t>
    </r>
    <r>
      <rPr>
        <sz val="6"/>
        <rFont val="Symbol"/>
        <family val="1"/>
      </rPr>
      <t>2</t>
    </r>
    <r>
      <rPr>
        <sz val="10"/>
        <rFont val="Symbol"/>
        <family val="1"/>
      </rPr>
      <t xml:space="preserve"> =</t>
    </r>
  </si>
  <si>
    <r>
      <t xml:space="preserve">Equazione del moto per una corrente che "va" dal serbatoio di monte alla sezione contratta; incognita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>.</t>
    </r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</si>
  <si>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(</t>
    </r>
    <r>
      <rPr>
        <i/>
        <sz val="9"/>
        <rFont val="Times New Roman"/>
        <family val="1"/>
      </rPr>
      <t>Colebrook-White</t>
    </r>
    <r>
      <rPr>
        <sz val="10"/>
        <rFont val="Times New Roman"/>
        <family val="1"/>
      </rPr>
      <t>) =</t>
    </r>
  </si>
  <si>
    <r>
      <t xml:space="preserve">            0,1*V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</si>
  <si>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/(2*g) = </t>
    </r>
  </si>
  <si>
    <t>Esercizio 40</t>
  </si>
  <si>
    <r>
      <t>m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</si>
  <si>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m</t>
    </r>
    <r>
      <rPr>
        <sz val="10"/>
        <rFont val="Times New Roman"/>
        <family val="1"/>
      </rPr>
      <t>(d) =</t>
    </r>
  </si>
  <si>
    <t>Z(d) =</t>
  </si>
  <si>
    <r>
      <t>Z(D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</si>
  <si>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Poiché il carico motore per le due tubazioni in parallelo è lo stesso,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S</t>
    </r>
    <r>
      <rPr>
        <i/>
        <sz val="10"/>
        <rFont val="Times New Roman"/>
        <family val="1"/>
      </rPr>
      <t xml:space="preserve"> - Z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>, e avendo queste le stesse caratteristiche geometriche e di</t>
    </r>
  </si>
  <si>
    <r>
      <t xml:space="preserve">di scabrezza, le portate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non possono che essere identiche. Inoltre, per la continuità, esse saranno pari a 1/2*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>.</t>
    </r>
  </si>
  <si>
    <r>
      <t xml:space="preserve">         Q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/2 =</t>
    </r>
  </si>
  <si>
    <r>
      <t>Determinazione del carico di valle Z</t>
    </r>
    <r>
      <rPr>
        <i/>
        <u val="single"/>
        <sz val="6"/>
        <rFont val="Times New Roman"/>
        <family val="1"/>
      </rPr>
      <t>V</t>
    </r>
  </si>
  <si>
    <r>
      <t xml:space="preserve">Scrivendo l'equazione del moto tra il serbatoio centrale e quello di valle, si ricava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 come unica incognita del problema.</t>
    </r>
  </si>
  <si>
    <r>
      <t xml:space="preserve">     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-1,16*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 Z</t>
    </r>
    <r>
      <rPr>
        <sz val="6"/>
        <rFont val="Times New Roman"/>
        <family val="1"/>
      </rPr>
      <t>V</t>
    </r>
  </si>
  <si>
    <r>
      <t>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 xml:space="preserve">c 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</si>
  <si>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Re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</si>
  <si>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t>Il regime è molto vicino al confine tra turbolento di transizione e puramente turbolento.</t>
  </si>
  <si>
    <r>
      <t xml:space="preserve">     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</si>
  <si>
    <r>
      <t xml:space="preserve">                    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</si>
  <si>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1,16*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</si>
  <si>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Da cui</t>
  </si>
  <si>
    <r>
      <t xml:space="preserve">  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-1,16*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</si>
  <si>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Determinazione della spinta interna (dinamica) sul tratto di lunghezza d</t>
    </r>
    <r>
      <rPr>
        <i/>
        <u val="single"/>
        <sz val="6"/>
        <rFont val="Times New Roman"/>
        <family val="1"/>
      </rPr>
      <t>2</t>
    </r>
  </si>
  <si>
    <r>
      <t>L'</t>
    </r>
    <r>
      <rPr>
        <i/>
        <sz val="10"/>
        <rFont val="Times New Roman"/>
        <family val="1"/>
      </rPr>
      <t>equazione di equilibrio globale</t>
    </r>
    <r>
      <rPr>
        <sz val="10"/>
        <rFont val="Times New Roman"/>
        <family val="1"/>
      </rPr>
      <t xml:space="preserve"> 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costituito dal tratto di lunghezza 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percorso da fluido in moto</t>
    </r>
  </si>
  <si>
    <r>
      <t>(fluido interno alla tubazione - pedice "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>")ha la forma:</t>
    </r>
  </si>
  <si>
    <r>
      <t>G</t>
    </r>
    <r>
      <rPr>
        <b/>
        <sz val="6"/>
        <rFont val="Times New Roman"/>
        <family val="1"/>
      </rPr>
      <t>i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Ai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Bi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0i</t>
    </r>
    <r>
      <rPr>
        <b/>
        <sz val="10"/>
        <rFont val="Times New Roman"/>
        <family val="1"/>
      </rPr>
      <t>+M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-M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 xml:space="preserve"> = 0</t>
    </r>
  </si>
  <si>
    <r>
      <t>S</t>
    </r>
    <r>
      <rPr>
        <b/>
        <sz val="6"/>
        <rFont val="Times New Roman"/>
        <family val="1"/>
      </rPr>
      <t>i</t>
    </r>
    <r>
      <rPr>
        <b/>
        <sz val="10"/>
        <rFont val="Times New Roman"/>
        <family val="1"/>
      </rPr>
      <t xml:space="preserve"> = 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0i</t>
    </r>
  </si>
  <si>
    <r>
      <t xml:space="preserve">Peso </t>
    </r>
    <r>
      <rPr>
        <b/>
        <u val="single"/>
        <sz val="10"/>
        <rFont val="Times New Roman"/>
        <family val="1"/>
      </rPr>
      <t>G</t>
    </r>
    <r>
      <rPr>
        <b/>
        <u val="single"/>
        <sz val="6"/>
        <rFont val="Times New Roman"/>
        <family val="1"/>
      </rPr>
      <t>i</t>
    </r>
  </si>
  <si>
    <r>
      <t>W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</si>
  <si>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*W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</si>
  <si>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ai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</si>
  <si>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BA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</si>
  <si>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Ai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</si>
  <si>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A</t>
    </r>
    <r>
      <rPr>
        <i/>
        <sz val="6"/>
        <rFont val="Times New Roman"/>
        <family val="1"/>
      </rPr>
      <t>.</t>
    </r>
  </si>
  <si>
    <r>
      <t>Flusso della quantità di moto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A</t>
    </r>
  </si>
  <si>
    <r>
      <t>M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</si>
  <si>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A</t>
    </r>
    <r>
      <rPr>
        <sz val="10"/>
        <rFont val="Times New Roman"/>
        <family val="1"/>
      </rPr>
      <t>.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</si>
  <si>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Bi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</si>
  <si>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BB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</si>
  <si>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Bi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</si>
  <si>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B</t>
    </r>
    <r>
      <rPr>
        <i/>
        <sz val="6"/>
        <rFont val="Times New Roman"/>
        <family val="1"/>
      </rPr>
      <t>.</t>
    </r>
  </si>
  <si>
    <r>
      <t>Flusso della quantità di moto -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B</t>
    </r>
  </si>
  <si>
    <r>
      <t>M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</si>
  <si>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B</t>
    </r>
    <r>
      <rPr>
        <sz val="10"/>
        <rFont val="Times New Roman"/>
        <family val="1"/>
      </rPr>
      <t>.</t>
    </r>
  </si>
  <si>
    <r>
      <t xml:space="preserve">             S</t>
    </r>
    <r>
      <rPr>
        <sz val="7"/>
        <rFont val="Times New Roman"/>
        <family val="1"/>
      </rPr>
      <t>i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Ai</t>
    </r>
    <r>
      <rPr>
        <sz val="10"/>
        <rFont val="Times New Roman"/>
        <family val="1"/>
      </rPr>
      <t>+M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P</t>
    </r>
    <r>
      <rPr>
        <sz val="6"/>
        <rFont val="Times New Roman"/>
        <family val="1"/>
      </rPr>
      <t>Bi</t>
    </r>
    <r>
      <rPr>
        <sz val="10"/>
        <rFont val="Times New Roman"/>
        <family val="1"/>
      </rPr>
      <t>+M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Ai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P</t>
    </r>
    <r>
      <rPr>
        <sz val="6"/>
        <rFont val="Times New Roman"/>
        <family val="1"/>
      </rPr>
      <t>Bi</t>
    </r>
    <r>
      <rPr>
        <sz val="10"/>
        <rFont val="Times New Roman"/>
        <family val="1"/>
      </rPr>
      <t xml:space="preserve"> =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</si>
  <si>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ix</t>
    </r>
    <r>
      <rPr>
        <sz val="10"/>
        <rFont val="Times New Roman"/>
        <family val="1"/>
      </rPr>
      <t xml:space="preserve"> ha verso concorde con quello dell'asse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. </t>
    </r>
  </si>
  <si>
    <r>
      <t xml:space="preserve"> S</t>
    </r>
    <r>
      <rPr>
        <sz val="7"/>
        <rFont val="Times New Roman"/>
        <family val="1"/>
      </rPr>
      <t>i z</t>
    </r>
    <r>
      <rPr>
        <sz val="10"/>
        <rFont val="Times New Roman"/>
        <family val="1"/>
      </rPr>
      <t xml:space="preserve"> = -G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</si>
  <si>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r>
      <t xml:space="preserve">Dal segno negativo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iz</t>
    </r>
    <r>
      <rPr>
        <sz val="10"/>
        <rFont val="Times New Roman"/>
        <family val="1"/>
      </rPr>
      <t xml:space="preserve"> ha verso discorde con quello dell'asse </t>
    </r>
    <r>
      <rPr>
        <i/>
        <sz val="10"/>
        <rFont val="Times New Roman"/>
        <family val="1"/>
      </rPr>
      <t xml:space="preserve">z. </t>
    </r>
  </si>
  <si>
    <r>
      <t>S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>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iz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</si>
  <si>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>Determinazione della spinta esterna (statica) sul tratto di lunghezza d</t>
    </r>
    <r>
      <rPr>
        <i/>
        <u val="single"/>
        <sz val="6"/>
        <rFont val="Times New Roman"/>
        <family val="1"/>
      </rPr>
      <t>2</t>
    </r>
    <r>
      <rPr>
        <i/>
        <u val="single"/>
        <sz val="10"/>
        <rFont val="Times New Roman"/>
        <family val="1"/>
      </rPr>
      <t>-d</t>
    </r>
    <r>
      <rPr>
        <i/>
        <u val="single"/>
        <sz val="6"/>
        <rFont val="Times New Roman"/>
        <family val="1"/>
      </rPr>
      <t>1</t>
    </r>
  </si>
  <si>
    <r>
      <t>L'</t>
    </r>
    <r>
      <rPr>
        <i/>
        <sz val="10"/>
        <rFont val="Times New Roman"/>
        <family val="1"/>
      </rPr>
      <t>equazione di equilibrio globale</t>
    </r>
    <r>
      <rPr>
        <sz val="10"/>
        <rFont val="Times New Roman"/>
        <family val="1"/>
      </rPr>
      <t xml:space="preserve"> 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costituito dal tratto di lunghezza 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sottoposto ad azione  </t>
    </r>
  </si>
  <si>
    <r>
      <t>statica esterna (pedice "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>") ha la forma:</t>
    </r>
  </si>
  <si>
    <r>
      <t>G</t>
    </r>
    <r>
      <rPr>
        <b/>
        <sz val="6"/>
        <rFont val="Times New Roman"/>
        <family val="1"/>
      </rPr>
      <t>e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Ce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Be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0e</t>
    </r>
    <r>
      <rPr>
        <b/>
        <sz val="10"/>
        <rFont val="Times New Roman"/>
        <family val="1"/>
      </rPr>
      <t xml:space="preserve"> = 0</t>
    </r>
  </si>
  <si>
    <r>
      <t>S</t>
    </r>
    <r>
      <rPr>
        <b/>
        <sz val="6"/>
        <rFont val="Times New Roman"/>
        <family val="1"/>
      </rPr>
      <t>e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0e</t>
    </r>
  </si>
  <si>
    <r>
      <t xml:space="preserve">Peso </t>
    </r>
    <r>
      <rPr>
        <b/>
        <u val="single"/>
        <sz val="10"/>
        <rFont val="Times New Roman"/>
        <family val="1"/>
      </rPr>
      <t>G</t>
    </r>
    <r>
      <rPr>
        <b/>
        <u val="single"/>
        <sz val="6"/>
        <rFont val="Times New Roman"/>
        <family val="1"/>
      </rPr>
      <t>e</t>
    </r>
  </si>
  <si>
    <r>
      <t>W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</si>
  <si>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G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*W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</si>
  <si>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Ce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</si>
  <si>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BC</t>
    </r>
    <r>
      <rPr>
        <sz val="10"/>
        <rFont val="Times New Roman"/>
        <family val="1"/>
      </rPr>
      <t xml:space="preserve"> =</t>
    </r>
  </si>
  <si>
    <r>
      <t xml:space="preserve">Il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C</t>
    </r>
    <r>
      <rPr>
        <sz val="10"/>
        <rFont val="Times New Roman"/>
        <family val="1"/>
      </rPr>
      <t xml:space="preserve"> si trova, chiaramente, alla stessa quota di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A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B</t>
    </r>
    <r>
      <rPr>
        <sz val="10"/>
        <rFont val="Times New Roman"/>
        <family val="1"/>
      </rPr>
      <t>.</t>
    </r>
  </si>
  <si>
    <r>
      <t>P</t>
    </r>
    <r>
      <rPr>
        <sz val="6"/>
        <rFont val="Times New Roman"/>
        <family val="1"/>
      </rPr>
      <t>Ce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</si>
  <si>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C</t>
    </r>
    <r>
      <rPr>
        <i/>
        <sz val="6"/>
        <rFont val="Times New Roman"/>
        <family val="1"/>
      </rPr>
      <t>.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</si>
  <si>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Be</t>
    </r>
  </si>
  <si>
    <r>
      <t>P</t>
    </r>
    <r>
      <rPr>
        <sz val="6"/>
        <rFont val="Times New Roman"/>
        <family val="1"/>
      </rPr>
      <t>Be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</si>
  <si>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   S</t>
    </r>
    <r>
      <rPr>
        <sz val="7"/>
        <rFont val="Times New Roman"/>
        <family val="1"/>
      </rPr>
      <t>e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Ce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Be</t>
    </r>
    <r>
      <rPr>
        <sz val="10"/>
        <rFont val="Times New Roman"/>
        <family val="1"/>
      </rPr>
      <t xml:space="preserve"> =</t>
    </r>
  </si>
  <si>
    <r>
      <t xml:space="preserve"> S</t>
    </r>
    <r>
      <rPr>
        <sz val="7"/>
        <rFont val="Times New Roman"/>
        <family val="1"/>
      </rPr>
      <t>e z</t>
    </r>
    <r>
      <rPr>
        <sz val="10"/>
        <rFont val="Times New Roman"/>
        <family val="1"/>
      </rPr>
      <t xml:space="preserve"> = G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</t>
    </r>
  </si>
  <si>
    <t>Esercizio 32</t>
  </si>
  <si>
    <t>raccordo che, fisicamente, evidenzia le accelerazioni convettive.</t>
  </si>
  <si>
    <t>L'equazione di Bernoulli estesa alle corrente di fluido reale transitante tra i due serbatoi si scrive:</t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</si>
  <si>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J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J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 H</t>
    </r>
    <r>
      <rPr>
        <sz val="6"/>
        <rFont val="Times New Roman"/>
        <family val="1"/>
      </rPr>
      <t>B</t>
    </r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</si>
  <si>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J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J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 Z</t>
    </r>
    <r>
      <rPr>
        <sz val="6"/>
        <rFont val="Times New Roman"/>
        <family val="1"/>
      </rPr>
      <t>B</t>
    </r>
  </si>
  <si>
    <t>oppure, esplicitando i carichi a monte e a valle:</t>
  </si>
  <si>
    <t>oppure, esplicitando le cadenti:</t>
  </si>
  <si>
    <t>oppure, sostituendo alla velocità il rapporto portata/area:</t>
  </si>
  <si>
    <r>
      <t xml:space="preserve">    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 xml:space="preserve">2  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 Z</t>
    </r>
    <r>
      <rPr>
        <sz val="6"/>
        <rFont val="Times New Roman"/>
        <family val="1"/>
      </rPr>
      <t>B</t>
    </r>
  </si>
  <si>
    <r>
      <t xml:space="preserve">    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sz val="6"/>
        <rFont val="Times New Roman"/>
        <family val="1"/>
      </rPr>
      <t xml:space="preserve">2 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 Z</t>
    </r>
    <r>
      <rPr>
        <sz val="6"/>
        <rFont val="Times New Roman"/>
        <family val="1"/>
      </rPr>
      <t>B</t>
    </r>
  </si>
  <si>
    <t xml:space="preserve">problema. Ma, in generale, quando l'equazione del moto tra i due serbatoi non è sufficiente a portare in pareggio il bilancio tra </t>
  </si>
  <si>
    <t xml:space="preserve">equazioni ed incognite bisogna anzitutto osservare se nel sistema sono presenti macchine idrauliche, luci di efflusso o </t>
  </si>
  <si>
    <t xml:space="preserve">strumenti di misura. Infatti, spesso questi elementi, specie se convenientemente disposti, consentono tramite le loro "equazioni </t>
  </si>
  <si>
    <t xml:space="preserve">caratteristiche" di arrivare ad un numero di relazioni tra le incognite (alcune da essi stessi introdotte e, comunque, non tutte </t>
  </si>
  <si>
    <t>necessariamente da calcolare) sufficiente per risolvere il problema. In particolare, in questo esercizio, "a cavallo" del tratto</t>
  </si>
  <si>
    <t xml:space="preserve">convergente è applicato un manometro differenziale per il quale si suppone - analogamente a quanto fatto nel caso dei fluidi </t>
  </si>
  <si>
    <t xml:space="preserve">ideali - che nelle due sezioni di presa (sezioni 1 e 2) il moto sia uniforme. In tal caso, scritta tra di esse l'equazione dello </t>
  </si>
  <si>
    <t>strumento e quella del moto si ottiene il sistema:</t>
  </si>
  <si>
    <r>
      <t>Z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</si>
  <si>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t>il quale, spostando convenientemente i termini diventa:</t>
  </si>
  <si>
    <t xml:space="preserve">presa del manometro. Quest'ultima è una sorta di incognita "di servizio" che non ha nemmeno bisogno di essere ricavata, per </t>
  </si>
  <si>
    <t>quanto sia immediatamente nota dalla prima equazione. Importante è invece notare che eguagliando i secondi membri delle due</t>
  </si>
  <si>
    <t>relazioni si ottiene una sola equazione nell'incognita Q.</t>
  </si>
  <si>
    <r>
      <t xml:space="preserve">Esso è dunque un sistema di due equazioni in due incognite, la portata Q e la differenza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di quota piezometrica tra le sezioni di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</si>
  <si>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       e</t>
    </r>
  </si>
  <si>
    <t>Risulta:</t>
  </si>
  <si>
    <r>
      <t>In essa compaiono due incognite, Q e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; inoltre gli </t>
    </r>
    <r>
      <rPr>
        <i/>
        <sz val="10"/>
        <rFont val="Times New Roman"/>
        <family val="1"/>
      </rPr>
      <t>indici di resistenza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non possono essere determinati se Q non è </t>
    </r>
  </si>
  <si>
    <r>
      <t xml:space="preserve">● determinazione del </t>
    </r>
    <r>
      <rPr>
        <i/>
        <sz val="10"/>
        <rFont val="Times New Roman"/>
        <family val="1"/>
      </rPr>
      <t>numero di Reynolds</t>
    </r>
    <r>
      <rPr>
        <sz val="10"/>
        <rFont val="Times New Roman"/>
        <family val="1"/>
      </rPr>
      <t xml:space="preserve"> nella condotta</t>
    </r>
  </si>
  <si>
    <r>
      <t xml:space="preserve">    con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</si>
  <si>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 xml:space="preserve">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 4Q/(</t>
    </r>
    <r>
      <rPr>
        <sz val="10"/>
        <rFont val="Symbol"/>
        <family val="1"/>
      </rPr>
      <t xml:space="preserve">p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) =</t>
    </r>
  </si>
  <si>
    <r>
      <t>e</t>
    </r>
    <r>
      <rPr>
        <sz val="6"/>
        <rFont val="Arial"/>
        <family val="2"/>
      </rPr>
      <t>1</t>
    </r>
    <r>
      <rPr>
        <sz val="10"/>
        <rFont val="t"/>
        <family val="0"/>
      </rPr>
      <t>/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1</t>
    </r>
    <r>
      <rPr>
        <sz val="10"/>
        <rFont val="t"/>
        <family val="0"/>
      </rPr>
      <t xml:space="preserve"> =</t>
    </r>
  </si>
  <si>
    <r>
      <t xml:space="preserve"> e</t>
    </r>
    <r>
      <rPr>
        <sz val="6"/>
        <rFont val="Arial"/>
        <family val="2"/>
      </rPr>
      <t>2</t>
    </r>
    <r>
      <rPr>
        <sz val="10"/>
        <rFont val="t"/>
        <family val="0"/>
      </rPr>
      <t>/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"/>
        <family val="0"/>
      </rPr>
      <t xml:space="preserve"> =</t>
    </r>
  </si>
  <si>
    <r>
      <t xml:space="preserve">    con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</si>
  <si>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 xml:space="preserve">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 4Q/(</t>
    </r>
    <r>
      <rPr>
        <sz val="10"/>
        <rFont val="Symbol"/>
        <family val="1"/>
      </rPr>
      <t xml:space="preserve">p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) =</t>
    </r>
  </si>
  <si>
    <t xml:space="preserve">● determinazione della scabrezza relativa della condotta </t>
  </si>
  <si>
    <t>● determinazione della scabrezza relativa della condotta</t>
  </si>
  <si>
    <t xml:space="preserve">● individuazione del regime di moto nella condotta con </t>
  </si>
  <si>
    <r>
      <t xml:space="preserve">   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usando l'Abaco di Moody:</t>
    </r>
  </si>
  <si>
    <t>I passaggi da compiere sono i seguenti:</t>
  </si>
  <si>
    <t>tratteggiata che separa il moto puramente turbolento da</t>
  </si>
  <si>
    <r>
      <t>le coordinate (Re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sono molto vicine alla curva</t>
    </r>
  </si>
  <si>
    <r>
      <t>le coordinate (Re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,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sono ovviamente sulla curva</t>
    </r>
  </si>
  <si>
    <t xml:space="preserve">del tubo liscio. Il regime è quello turbolento di transizione. </t>
  </si>
  <si>
    <r>
      <t xml:space="preserve">quello turbolento di transizione. Per il calcolo di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</si>
  <si>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r>
      <t xml:space="preserve">          1/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 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{2,51/(Re</t>
    </r>
    <r>
      <rPr>
        <sz val="6"/>
        <rFont val="Times New Roman"/>
        <family val="1"/>
      </rPr>
      <t xml:space="preserve">1 </t>
    </r>
    <r>
      <rPr>
        <sz val="10"/>
        <rFont val="Symbol"/>
        <family val="1"/>
      </rPr>
      <t>l</t>
    </r>
    <r>
      <rPr>
        <sz val="6"/>
        <rFont val="Symbol"/>
        <family val="1"/>
      </rPr>
      <t>1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)+(</t>
    </r>
    <r>
      <rPr>
        <sz val="10"/>
        <rFont val="Symbol"/>
        <family val="1"/>
      </rPr>
      <t>e</t>
    </r>
    <r>
      <rPr>
        <sz val="6"/>
        <rFont val="Symbol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)/3,71}</t>
    </r>
  </si>
  <si>
    <t>in alternativa alla "via grafica" si può usare la formula</t>
  </si>
  <si>
    <t>di Colebrook-White.</t>
  </si>
  <si>
    <r>
      <t xml:space="preserve">calcolare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è quella di Colebrook- White con </t>
    </r>
    <r>
      <rPr>
        <sz val="10"/>
        <rFont val="Symbol"/>
        <family val="1"/>
      </rPr>
      <t>e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= 0, ovvero</t>
    </r>
  </si>
  <si>
    <r>
      <t xml:space="preserve">quella di </t>
    </r>
    <r>
      <rPr>
        <i/>
        <sz val="10"/>
        <rFont val="Times New Roman"/>
        <family val="1"/>
      </rPr>
      <t>Prantl-Von Karman</t>
    </r>
    <r>
      <rPr>
        <sz val="10"/>
        <rFont val="Times New Roman"/>
        <family val="1"/>
      </rPr>
      <t xml:space="preserve"> per il tubo liscio. </t>
    </r>
  </si>
  <si>
    <r>
      <t xml:space="preserve">          1/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 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{2,51/(Re</t>
    </r>
    <r>
      <rPr>
        <sz val="6"/>
        <rFont val="Times New Roman"/>
        <family val="1"/>
      </rPr>
      <t xml:space="preserve">2 </t>
    </r>
    <r>
      <rPr>
        <sz val="10"/>
        <rFont val="Symbol"/>
        <family val="1"/>
      </rPr>
      <t>l</t>
    </r>
    <r>
      <rPr>
        <sz val="6"/>
        <rFont val="Symbol"/>
        <family val="1"/>
      </rPr>
      <t>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}</t>
    </r>
  </si>
  <si>
    <r>
      <t xml:space="preserve">dislivello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che risulta l'unica incognita dell'equazione.</t>
    </r>
  </si>
  <si>
    <r>
      <t xml:space="preserve">                        0,5*Q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</si>
  <si>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          a</t>
    </r>
    <r>
      <rPr>
        <sz val="10"/>
        <rFont val="Times New Roman"/>
        <family val="1"/>
      </rPr>
      <t>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</si>
  <si>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t>Ne consegue:</t>
  </si>
  <si>
    <r>
      <t xml:space="preserve">           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-[0,5*Q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 =</t>
    </r>
  </si>
  <si>
    <t>Controllo eventuale depressione alla sezione contratta</t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</si>
  <si>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/(2*g)+0,1*V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</si>
  <si>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t xml:space="preserve">                                  </t>
  </si>
  <si>
    <r>
      <t xml:space="preserve">                                   0,1*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</si>
  <si>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Determinazioine dela spinta "netta" sulla superficie tratteggiata</t>
  </si>
  <si>
    <r>
      <t>S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= S</t>
    </r>
    <r>
      <rPr>
        <sz val="6"/>
        <rFont val="Times New Roman"/>
        <family val="1"/>
      </rPr>
      <t>i x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</si>
  <si>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S</t>
    </r>
    <r>
      <rPr>
        <sz val="6"/>
        <rFont val="Times New Roman"/>
        <family val="1"/>
      </rPr>
      <t>e z</t>
    </r>
    <r>
      <rPr>
        <sz val="10"/>
        <rFont val="Times New Roman"/>
        <family val="1"/>
      </rPr>
      <t xml:space="preserve"> - |S</t>
    </r>
    <r>
      <rPr>
        <sz val="6"/>
        <rFont val="Times New Roman"/>
        <family val="1"/>
      </rPr>
      <t xml:space="preserve">i z </t>
    </r>
    <r>
      <rPr>
        <sz val="10"/>
        <rFont val="Times New Roman"/>
        <family val="1"/>
      </rPr>
      <t>| =</t>
    </r>
  </si>
  <si>
    <t>Il modulo della spinta "netta" ha valore:</t>
  </si>
  <si>
    <r>
      <t>S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>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z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</si>
  <si>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>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 xml:space="preserve">). </t>
    </r>
  </si>
  <si>
    <r>
      <t>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</si>
  <si>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</si>
  <si>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Esercizio 37</t>
  </si>
  <si>
    <r>
      <t>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</si>
  <si>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</si>
  <si>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 xml:space="preserve">Determinare </t>
    </r>
    <r>
      <rPr>
        <sz val="10"/>
        <rFont val="Times New Roman"/>
        <family val="1"/>
      </rPr>
      <t xml:space="preserve">le portate transitanti,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INF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SUP</t>
    </r>
    <r>
      <rPr>
        <sz val="10"/>
        <rFont val="Times New Roman"/>
        <family val="1"/>
      </rPr>
      <t xml:space="preserve"> , ed il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del serbatoio di valle.</t>
    </r>
    <r>
      <rPr>
        <b/>
        <sz val="10"/>
        <rFont val="Times New Roman"/>
        <family val="1"/>
      </rPr>
      <t xml:space="preserve"> Tracciare </t>
    </r>
    <r>
      <rPr>
        <sz val="10"/>
        <rFont val="Times New Roman"/>
        <family val="1"/>
      </rPr>
      <t xml:space="preserve">la </t>
    </r>
    <r>
      <rPr>
        <i/>
        <sz val="10"/>
        <rFont val="Times New Roman"/>
        <family val="1"/>
      </rPr>
      <t xml:space="preserve">linea dei </t>
    </r>
  </si>
  <si>
    <r>
      <t>carichi totali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>) 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 xml:space="preserve">). </t>
    </r>
  </si>
  <si>
    <r>
      <t>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</si>
  <si>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Q</t>
    </r>
    <r>
      <rPr>
        <sz val="6"/>
        <rFont val="Times New Roman"/>
        <family val="1"/>
      </rPr>
      <t>inf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</si>
  <si>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</si>
  <si>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V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</si>
  <si>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Q</t>
    </r>
    <r>
      <rPr>
        <sz val="6"/>
        <rFont val="Times New Roman"/>
        <family val="1"/>
      </rPr>
      <t>sup</t>
    </r>
    <r>
      <rPr>
        <sz val="10"/>
        <rFont val="Times New Roman"/>
        <family val="1"/>
      </rPr>
      <t xml:space="preserve"> =</t>
    </r>
  </si>
  <si>
    <t>Esercizio 38</t>
  </si>
  <si>
    <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</si>
  <si>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</t>
    </r>
  </si>
  <si>
    <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</si>
  <si>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Symbol"/>
        <family val="1"/>
      </rPr>
      <t>1</t>
    </r>
    <r>
      <rPr>
        <sz val="10"/>
        <rFont val="Symbol"/>
        <family val="1"/>
      </rPr>
      <t xml:space="preserve"> =</t>
    </r>
  </si>
  <si>
    <r>
      <t>e</t>
    </r>
    <r>
      <rPr>
        <sz val="6"/>
        <rFont val="Symbol"/>
        <family val="1"/>
      </rPr>
      <t>2</t>
    </r>
    <r>
      <rPr>
        <sz val="10"/>
        <rFont val="Symbol"/>
        <family val="1"/>
      </rPr>
      <t xml:space="preserve"> =</t>
    </r>
  </si>
  <si>
    <t xml:space="preserve">m    </t>
  </si>
  <si>
    <r>
      <t xml:space="preserve">Tracciare </t>
    </r>
    <r>
      <rPr>
        <sz val="10"/>
        <rFont val="Times New Roman"/>
        <family val="1"/>
      </rPr>
      <t xml:space="preserve">la </t>
    </r>
    <r>
      <rPr>
        <i/>
        <sz val="10"/>
        <rFont val="Times New Roman"/>
        <family val="1"/>
      </rPr>
      <t>linea dei carichi totali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>) 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 xml:space="preserve">). </t>
    </r>
  </si>
  <si>
    <r>
      <t>l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</si>
  <si>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l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=</t>
    </r>
  </si>
  <si>
    <t>Colebrook-White = 0</t>
  </si>
  <si>
    <t xml:space="preserve">       (usando "Ricerca obiettivo")</t>
  </si>
  <si>
    <t>ne consegue:</t>
  </si>
  <si>
    <r>
      <t xml:space="preserve">L'equazione di equilibrio globale </t>
    </r>
    <r>
      <rPr>
        <sz val="10"/>
        <rFont val="Times New Roman"/>
        <family val="1"/>
      </rPr>
      <t xml:space="preserve">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rappresentato dal tratto di lunghezza </t>
    </r>
    <r>
      <rPr>
        <i/>
        <sz val="10"/>
        <rFont val="Times New Roman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</si>
  <si>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 xml:space="preserve"> ha la seguente forma: </t>
  </si>
  <si>
    <r>
      <t xml:space="preserve">           G+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+M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-M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= 0</t>
    </r>
  </si>
  <si>
    <r>
      <t>S = 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</si>
  <si>
    <t>Si procede ora alla determinazionedel modulo ed alla descrizione vettoriale delle forze presenti nell'equazione.</t>
  </si>
  <si>
    <r>
      <t xml:space="preserve">Peso </t>
    </r>
    <r>
      <rPr>
        <b/>
        <u val="single"/>
        <sz val="10"/>
        <rFont val="Times New Roman"/>
        <family val="1"/>
      </rPr>
      <t>G</t>
    </r>
  </si>
  <si>
    <r>
      <t>W = A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</si>
  <si>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G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*W =</t>
    </r>
  </si>
  <si>
    <t xml:space="preserve">direzione verticale, verso il basso; vettore applicato nel baricentro del </t>
  </si>
  <si>
    <t>volume di controllo</t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</si>
  <si>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1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</si>
  <si>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-J*L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</si>
  <si>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*A =</t>
    </r>
  </si>
  <si>
    <t>diretta normalmente alla superficie piana, con verso entrante</t>
  </si>
  <si>
    <r>
      <t xml:space="preserve">ed applicata nel </t>
    </r>
    <r>
      <rPr>
        <i/>
        <sz val="10"/>
        <rFont val="Times New Roman"/>
        <family val="1"/>
      </rPr>
      <t>centro di spinta</t>
    </r>
    <r>
      <rPr>
        <sz val="10"/>
        <rFont val="Times New Roman"/>
        <family val="1"/>
      </rPr>
      <t xml:space="preserve"> il quale, trattandosi di un 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</si>
  <si>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i/>
        <sz val="6"/>
        <rFont val="Times New Roman"/>
        <family val="1"/>
      </rPr>
      <t>.</t>
    </r>
  </si>
  <si>
    <r>
      <t xml:space="preserve">Flusso della quantità di moto 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1</t>
    </r>
  </si>
  <si>
    <r>
      <t>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</si>
  <si>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vettore diretto normalmente alla superficie piana, con verso</t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</si>
  <si>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.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</si>
  <si>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2</t>
    </r>
  </si>
  <si>
    <r>
      <t xml:space="preserve">         h</t>
    </r>
    <r>
      <rPr>
        <vertAlign val="subscript"/>
        <sz val="10"/>
        <rFont val="Times New Roman"/>
        <family val="1"/>
      </rPr>
      <t>B2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-J*(L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</si>
  <si>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*A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</si>
  <si>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i/>
        <sz val="6"/>
        <rFont val="Times New Roman"/>
        <family val="1"/>
      </rPr>
      <t>.</t>
    </r>
  </si>
  <si>
    <r>
      <t>Flusso della quantità di moto -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2</t>
    </r>
  </si>
  <si>
    <r>
      <t>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</si>
  <si>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</si>
  <si>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>Se ne evincono le seguenti componenti:</t>
  </si>
  <si>
    <r>
      <t xml:space="preserve">              S</t>
    </r>
    <r>
      <rPr>
        <sz val="7"/>
        <rFont val="Times New Roman"/>
        <family val="1"/>
      </rPr>
      <t>x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)*cos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-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)*cos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 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</si>
  <si>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x</t>
    </r>
    <r>
      <rPr>
        <sz val="10"/>
        <rFont val="Times New Roman"/>
        <family val="1"/>
      </rPr>
      <t xml:space="preserve"> ha lo stesso verso dell'asse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. </t>
    </r>
  </si>
  <si>
    <r>
      <t xml:space="preserve">                   S</t>
    </r>
    <r>
      <rPr>
        <sz val="7"/>
        <rFont val="Times New Roman"/>
        <family val="1"/>
      </rPr>
      <t>z</t>
    </r>
    <r>
      <rPr>
        <sz val="10"/>
        <rFont val="Times New Roman"/>
        <family val="1"/>
      </rPr>
      <t xml:space="preserve"> = - G +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)*sen</t>
    </r>
    <r>
      <rPr>
        <sz val="10"/>
        <rFont val="Symbol"/>
        <family val="1"/>
      </rPr>
      <t>q</t>
    </r>
    <r>
      <rPr>
        <sz val="10"/>
        <rFont val="Times New Roman"/>
        <family val="1"/>
      </rPr>
      <t xml:space="preserve"> = 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</si>
  <si>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z</t>
    </r>
    <r>
      <rPr>
        <sz val="10"/>
        <rFont val="Times New Roman"/>
        <family val="1"/>
      </rPr>
      <t xml:space="preserve"> ha lo stesso verso dell'asse 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. </t>
    </r>
  </si>
  <si>
    <t>Infine, il modulo ha valore:</t>
  </si>
  <si>
    <r>
      <t>S = [S</t>
    </r>
    <r>
      <rPr>
        <sz val="6"/>
        <rFont val="Times New Roman"/>
        <family val="1"/>
      </rPr>
      <t>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z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</si>
  <si>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t>Esercizio 54</t>
  </si>
  <si>
    <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</si>
  <si>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</si>
  <si>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le componenti della spinta agente sul tratto di lunghezza </t>
    </r>
    <r>
      <rPr>
        <i/>
        <sz val="10"/>
        <rFont val="Times New Roman"/>
        <family val="1"/>
      </rPr>
      <t>L</t>
    </r>
    <r>
      <rPr>
        <i/>
        <sz val="6"/>
        <rFont val="Times New Roman"/>
        <family val="1"/>
      </rPr>
      <t>3.</t>
    </r>
  </si>
  <si>
    <r>
      <t xml:space="preserve">              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</si>
  <si>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</si>
  <si>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</si>
  <si>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</si>
  <si>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     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</si>
  <si>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</si>
  <si>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</si>
  <si>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</si>
  <si>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</si>
  <si>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</si>
  <si>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Determinazione della spinta sul tratto di lunghezza L</t>
    </r>
    <r>
      <rPr>
        <i/>
        <u val="single"/>
        <vertAlign val="subscript"/>
        <sz val="10"/>
        <rFont val="Times New Roman"/>
        <family val="1"/>
      </rPr>
      <t>3</t>
    </r>
  </si>
  <si>
    <r>
      <t xml:space="preserve">L'equazione di </t>
    </r>
    <r>
      <rPr>
        <i/>
        <sz val="10"/>
        <rFont val="Times New Roman"/>
        <family val="1"/>
      </rPr>
      <t>equilibrio globale</t>
    </r>
    <r>
      <rPr>
        <sz val="10"/>
        <rFont val="Times New Roman"/>
        <family val="1"/>
      </rPr>
      <t xml:space="preserve"> 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rappresentato dal tratto di lunghezza </t>
    </r>
    <r>
      <rPr>
        <i/>
        <sz val="10"/>
        <rFont val="Times New Roman"/>
        <family val="1"/>
      </rPr>
      <t>L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 ha la  </t>
    </r>
  </si>
  <si>
    <t xml:space="preserve">la seguente forma: </t>
  </si>
  <si>
    <r>
      <t xml:space="preserve">                                G+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+M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-M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= 0</t>
    </r>
  </si>
  <si>
    <r>
      <t>W =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</si>
  <si>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</si>
  <si>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portata circolante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la prevalenza superata dalla pompa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ed il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 nel serbatoio di monte.</t>
    </r>
  </si>
  <si>
    <r>
      <t>Tracciare</t>
    </r>
    <r>
      <rPr>
        <sz val="10"/>
        <rFont val="Times New Roman"/>
        <family val="1"/>
      </rPr>
      <t xml:space="preserve"> LCT e LP.</t>
    </r>
  </si>
  <si>
    <t>Determinazione della portata, Q, tramite l'equazione di efflusso</t>
  </si>
  <si>
    <r>
      <t xml:space="preserve">Dato che la quota del pelo libero nel serbatoio di valle,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, e quella del baricentro della luce di efflusso,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U</t>
    </r>
    <r>
      <rPr>
        <sz val="10"/>
        <rFont val="Times New Roman"/>
        <family val="1"/>
      </rPr>
      <t>, sono note, risulta</t>
    </r>
  </si>
  <si>
    <r>
      <t xml:space="preserve">immediata la determinazione del </t>
    </r>
    <r>
      <rPr>
        <i/>
        <sz val="10"/>
        <rFont val="Times New Roman"/>
        <family val="1"/>
      </rPr>
      <t>battente</t>
    </r>
    <r>
      <rPr>
        <sz val="10"/>
        <rFont val="Times New Roman"/>
        <family val="1"/>
      </rPr>
      <t xml:space="preserve"> gravante sulla suddetta luce. L'equazione di efflusso avrà la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consueta forma, al netto del</t>
    </r>
    <r>
      <rPr>
        <i/>
        <sz val="10"/>
        <rFont val="Times New Roman"/>
        <family val="1"/>
      </rPr>
      <t xml:space="preserve"> </t>
    </r>
  </si>
  <si>
    <r>
      <t xml:space="preserve">coefficiente di contrazione </t>
    </r>
    <r>
      <rPr>
        <sz val="10"/>
        <rFont val="Times New Roman"/>
        <family val="1"/>
      </rPr>
      <t xml:space="preserve">giacché il profilo della luce è </t>
    </r>
    <r>
      <rPr>
        <i/>
        <sz val="10"/>
        <rFont val="Times New Roman"/>
        <family val="1"/>
      </rPr>
      <t>ben raccordato.</t>
    </r>
  </si>
  <si>
    <r>
      <t>battente = (Z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) =</t>
    </r>
  </si>
  <si>
    <r>
      <t xml:space="preserve">        Q = Cv*A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*radq[2*g*(Z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)] =</t>
    </r>
  </si>
  <si>
    <r>
      <t xml:space="preserve">Determinazione della prevalenza, </t>
    </r>
    <r>
      <rPr>
        <i/>
        <u val="single"/>
        <sz val="10"/>
        <rFont val="Symbol"/>
        <family val="1"/>
      </rPr>
      <t>D</t>
    </r>
    <r>
      <rPr>
        <i/>
        <u val="single"/>
        <sz val="10"/>
        <rFont val="Times New Roman"/>
        <family val="1"/>
      </rPr>
      <t>H</t>
    </r>
    <r>
      <rPr>
        <i/>
        <u val="single"/>
        <sz val="6"/>
        <rFont val="Times New Roman"/>
        <family val="1"/>
      </rPr>
      <t>P</t>
    </r>
    <r>
      <rPr>
        <i/>
        <u val="single"/>
        <sz val="10"/>
        <rFont val="Times New Roman"/>
        <family val="1"/>
      </rPr>
      <t>, della pompa</t>
    </r>
  </si>
  <si>
    <r>
      <t>La prevalenza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della pompa si ricava come incognita dalla "formula" della potenza poiché, a questo punto,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è nota </t>
    </r>
  </si>
  <si>
    <r>
      <t xml:space="preserve">e la potenza stessa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al pari el peso specifico 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e del rendimento </t>
    </r>
    <r>
      <rPr>
        <i/>
        <sz val="10"/>
        <rFont val="Symbol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- è un dato di ingresso.</t>
    </r>
  </si>
  <si>
    <r>
      <t>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</si>
  <si>
    <t xml:space="preserve">          ==&gt;   </t>
  </si>
  <si>
    <r>
      <t xml:space="preserve">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*W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*Q) =</t>
    </r>
  </si>
  <si>
    <r>
      <t>Determinazione della quota, Z</t>
    </r>
    <r>
      <rPr>
        <i/>
        <u val="single"/>
        <sz val="6"/>
        <rFont val="Times New Roman"/>
        <family val="1"/>
      </rPr>
      <t>M</t>
    </r>
    <r>
      <rPr>
        <i/>
        <u val="single"/>
        <sz val="10"/>
        <rFont val="Times New Roman"/>
        <family val="1"/>
      </rPr>
      <t>, del pelo libero nel serbatoio di monte</t>
    </r>
  </si>
  <si>
    <r>
      <t xml:space="preserve">Per determinare questa grandezza occorre ricondursi all'equazione del moto tra i due serbatoi. In essa,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compare come unica </t>
    </r>
  </si>
  <si>
    <r>
      <t>incognita, ma prima occorre calcolare 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 ciascun tratto di condotta. Detta applicazione richiede l'utilizzo</t>
    </r>
  </si>
  <si>
    <r>
      <t>- in forma grafica o mediante formule - dell'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 xml:space="preserve">, al quale si "accede" tramite il </t>
    </r>
    <r>
      <rPr>
        <i/>
        <sz val="10"/>
        <rFont val="Times New Roman"/>
        <family val="1"/>
      </rPr>
      <t>numero di Reynolds Re</t>
    </r>
    <r>
      <rPr>
        <sz val="10"/>
        <rFont val="Times New Roman"/>
        <family val="1"/>
      </rPr>
      <t xml:space="preserve"> e la scabrezza</t>
    </r>
  </si>
  <si>
    <r>
      <t xml:space="preserve">relativa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D.</t>
    </r>
  </si>
  <si>
    <r>
      <t>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=Z</t>
    </r>
    <r>
      <rPr>
        <sz val="6"/>
        <rFont val="Times New Roman"/>
        <family val="1"/>
      </rPr>
      <t>V</t>
    </r>
  </si>
  <si>
    <r>
      <t xml:space="preserve">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</si>
  <si>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 xml:space="preserve">      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</si>
  <si>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      Re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 =</t>
    </r>
  </si>
  <si>
    <r>
      <t>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</si>
  <si>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</si>
  <si>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</si>
  <si>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</si>
  <si>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t xml:space="preserve">               Colebrook-White = 0</t>
  </si>
  <si>
    <r>
      <t xml:space="preserve">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</si>
  <si>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                   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</si>
  <si>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</si>
  <si>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                                     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</si>
  <si>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</si>
  <si>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</si>
  <si>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Nota</t>
    </r>
    <r>
      <rPr>
        <sz val="10"/>
        <rFont val="Times New Roman"/>
        <family val="1"/>
      </rPr>
      <t xml:space="preserve"> - Conviene sempre calcolare "a parte" le varie perdite di carico, continue e localizzate.</t>
    </r>
  </si>
  <si>
    <r>
      <t>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</si>
  <si>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</si>
  <si>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</si>
  <si>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</si>
  <si>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</si>
  <si>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</si>
  <si>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Il risultato è il seguente:</t>
  </si>
  <si>
    <r>
      <t xml:space="preserve">                             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+V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</si>
  <si>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t>Esercizio 51 (Tema d'esame del 13 Luglio 2004)</t>
  </si>
  <si>
    <r>
      <t>m             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(200.000+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/10) =</t>
    </r>
  </si>
  <si>
    <r>
      <t>m            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(500.000+C/10) =</t>
    </r>
  </si>
  <si>
    <r>
      <t>Z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</si>
  <si>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</si>
  <si>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e</t>
    </r>
    <r>
      <rPr>
        <sz val="7"/>
        <rFont val="Symbol"/>
        <family val="1"/>
      </rPr>
      <t>2</t>
    </r>
    <r>
      <rPr>
        <sz val="10"/>
        <rFont val="Symbol"/>
        <family val="1"/>
      </rPr>
      <t xml:space="preserve"> = </t>
    </r>
  </si>
  <si>
    <r>
      <t>C</t>
    </r>
    <r>
      <rPr>
        <b/>
        <sz val="10"/>
        <rFont val="Times New Roman"/>
        <family val="1"/>
      </rPr>
      <t xml:space="preserve"> =</t>
    </r>
  </si>
  <si>
    <r>
      <t>Q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</si>
  <si>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C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</si>
  <si>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>N</t>
    </r>
    <r>
      <rPr>
        <b/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</si>
  <si>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</si>
  <si>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t>m                    con</t>
  </si>
  <si>
    <t>La velocità nella sezione contratta è:</t>
  </si>
  <si>
    <r>
      <t xml:space="preserve">           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</si>
  <si>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</si>
  <si>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</si>
  <si>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t>g =</t>
  </si>
  <si>
    <r>
      <t>m/s</t>
    </r>
    <r>
      <rPr>
        <vertAlign val="superscript"/>
        <sz val="10"/>
        <rFont val="Times New Roman"/>
        <family val="1"/>
      </rPr>
      <t>2</t>
    </r>
  </si>
  <si>
    <r>
      <t>Z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</si>
  <si>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fluido ideale</t>
  </si>
  <si>
    <r>
      <t xml:space="preserve">         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0,316 Re</t>
    </r>
    <r>
      <rPr>
        <sz val="6"/>
        <rFont val="Times New Roman"/>
        <family val="1"/>
      </rPr>
      <t xml:space="preserve">2 </t>
    </r>
    <r>
      <rPr>
        <vertAlign val="superscript"/>
        <sz val="10"/>
        <rFont val="Times New Roman"/>
        <family val="1"/>
      </rPr>
      <t>-0,25</t>
    </r>
  </si>
  <si>
    <r>
      <t>l</t>
    </r>
    <r>
      <rPr>
        <sz val="10"/>
        <rFont val="Times New Roman"/>
        <family val="1"/>
      </rPr>
      <t xml:space="preserve"> = (7,000+0,05*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) =</t>
    </r>
  </si>
  <si>
    <r>
      <t>e</t>
    </r>
    <r>
      <rPr>
        <sz val="6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 = </t>
    </r>
    <r>
      <rPr>
        <sz val="10"/>
        <color indexed="63"/>
        <rFont val="Symbol"/>
        <family val="1"/>
      </rPr>
      <t>e</t>
    </r>
    <r>
      <rPr>
        <sz val="6"/>
        <color indexed="63"/>
        <rFont val="Times New Roman"/>
        <family val="1"/>
      </rPr>
      <t>2</t>
    </r>
    <r>
      <rPr>
        <sz val="10"/>
        <color indexed="63"/>
        <rFont val="Times New Roman"/>
        <family val="1"/>
      </rPr>
      <t xml:space="preserve"> = </t>
    </r>
  </si>
  <si>
    <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</t>
    </r>
  </si>
  <si>
    <r>
      <t>N/m</t>
    </r>
    <r>
      <rPr>
        <vertAlign val="superscript"/>
        <sz val="10"/>
        <color indexed="63"/>
        <rFont val="Times New Roman"/>
        <family val="1"/>
      </rPr>
      <t>3</t>
    </r>
  </si>
  <si>
    <r>
      <t>L</t>
    </r>
    <r>
      <rPr>
        <vertAlign val="subscript"/>
        <sz val="10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' = </t>
    </r>
  </si>
  <si>
    <r>
      <t>e</t>
    </r>
    <r>
      <rPr>
        <sz val="6"/>
        <color indexed="63"/>
        <rFont val="Times New Roman"/>
        <family val="1"/>
      </rPr>
      <t>3</t>
    </r>
    <r>
      <rPr>
        <sz val="10"/>
        <color indexed="63"/>
        <rFont val="Times New Roman"/>
        <family val="1"/>
      </rPr>
      <t xml:space="preserve"> = </t>
    </r>
  </si>
  <si>
    <r>
      <t>L</t>
    </r>
    <r>
      <rPr>
        <vertAlign val="subscript"/>
        <sz val="10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'' = </t>
    </r>
  </si>
  <si>
    <r>
      <t>x</t>
    </r>
    <r>
      <rPr>
        <sz val="10"/>
        <rFont val="Times New Roman"/>
        <family val="1"/>
      </rPr>
      <t xml:space="preserve"> </t>
    </r>
    <r>
      <rPr>
        <sz val="6"/>
        <rFont val="Times New Roman"/>
        <family val="1"/>
      </rPr>
      <t>brusco restr.o</t>
    </r>
    <r>
      <rPr>
        <sz val="10"/>
        <rFont val="Times New Roman"/>
        <family val="1"/>
      </rPr>
      <t xml:space="preserve"> =</t>
    </r>
  </si>
  <si>
    <r>
      <t>m</t>
    </r>
    <r>
      <rPr>
        <vertAlign val="superscript"/>
        <sz val="10"/>
        <color indexed="63"/>
        <rFont val="Times New Roman"/>
        <family val="1"/>
      </rPr>
      <t>2</t>
    </r>
    <r>
      <rPr>
        <sz val="10"/>
        <color indexed="63"/>
        <rFont val="Times New Roman"/>
        <family val="1"/>
      </rPr>
      <t>/s</t>
    </r>
  </si>
  <si>
    <r>
      <t>L</t>
    </r>
    <r>
      <rPr>
        <vertAlign val="subscript"/>
        <sz val="10"/>
        <color indexed="63"/>
        <rFont val="Times New Roman"/>
        <family val="1"/>
      </rPr>
      <t>2</t>
    </r>
    <r>
      <rPr>
        <sz val="10"/>
        <color indexed="63"/>
        <rFont val="Times New Roman"/>
        <family val="1"/>
      </rPr>
      <t xml:space="preserve"> = (10,000+</t>
    </r>
    <r>
      <rPr>
        <i/>
        <sz val="10"/>
        <color indexed="63"/>
        <rFont val="Times New Roman"/>
        <family val="1"/>
      </rPr>
      <t>C</t>
    </r>
    <r>
      <rPr>
        <sz val="10"/>
        <color indexed="63"/>
        <rFont val="Times New Roman"/>
        <family val="1"/>
      </rPr>
      <t xml:space="preserve">/10) = </t>
    </r>
  </si>
  <si>
    <r>
      <t>m/s</t>
    </r>
    <r>
      <rPr>
        <vertAlign val="superscript"/>
        <sz val="10"/>
        <color indexed="63"/>
        <rFont val="Times New Roman"/>
        <family val="1"/>
      </rPr>
      <t>2</t>
    </r>
  </si>
  <si>
    <r>
      <t>N</t>
    </r>
    <r>
      <rPr>
        <b/>
        <sz val="10"/>
        <rFont val="Times New Roman"/>
        <family val="1"/>
      </rPr>
      <t xml:space="preserve">  =</t>
    </r>
  </si>
  <si>
    <r>
      <t>Determinare</t>
    </r>
    <r>
      <rPr>
        <sz val="10"/>
        <rFont val="Times New Roman"/>
        <family val="1"/>
      </rPr>
      <t xml:space="preserve"> le portate circolanti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,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assorbita dalla pompa, la quota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 nel serbatoio di valle e le</t>
    </r>
  </si>
  <si>
    <r>
      <t xml:space="preserve">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/(2*g)+0,5*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</si>
  <si>
    <t>==&gt;</t>
  </si>
  <si>
    <r>
      <t>Q, Z</t>
    </r>
    <r>
      <rPr>
        <sz val="6"/>
        <rFont val="Arial"/>
        <family val="2"/>
      </rPr>
      <t>A</t>
    </r>
  </si>
  <si>
    <t>Esercizio 39 (secondo caso)</t>
  </si>
  <si>
    <t>m (acciaio saldato, catramato, usato)</t>
  </si>
  <si>
    <t>m   (ghisa nuova)</t>
  </si>
  <si>
    <t xml:space="preserve">Poiché il volume di controllo è arbitrario, può essere interessante verificare se scegliendone uno diverso si ottengono gli stessi risultati. A tal </t>
  </si>
  <si>
    <r>
      <t xml:space="preserve">scopo si pensi ora di isolare il volume di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compreso tra la superficie curva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e le superfici piane orizzontale passante per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e verticale</t>
    </r>
  </si>
  <si>
    <r>
      <t xml:space="preserve">passante per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. In questo caso l'equazione di equilibrio statico si scrive:</t>
    </r>
  </si>
  <si>
    <r>
      <t xml:space="preserve">nella quale </t>
    </r>
    <r>
      <rPr>
        <b/>
        <sz val="10"/>
        <rFont val="Times New Roman"/>
        <family val="1"/>
      </rPr>
      <t>G'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corrisponde al peso del volume di controllo,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è la spinta sulla superficie piana verticale,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quella sulla superficie piana </t>
    </r>
  </si>
  <si>
    <r>
      <t xml:space="preserve">orizzontale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quella sulla superficie curva. Quest'ultima risulta pari all'incognita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CD</t>
    </r>
    <r>
      <rPr>
        <sz val="10"/>
        <rFont val="Times New Roman"/>
        <family val="1"/>
      </rPr>
      <t xml:space="preserve"> cambiata di segno, ovvero:</t>
    </r>
  </si>
  <si>
    <r>
      <t>G'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= 0</t>
    </r>
  </si>
  <si>
    <r>
      <t xml:space="preserve">I termini a secondo membro sono di immediata determinazione e dunque anche le componenti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CD</t>
    </r>
    <r>
      <rPr>
        <sz val="10"/>
        <rFont val="Times New Roman"/>
        <family val="1"/>
      </rPr>
      <t xml:space="preserve"> risultano immediatamente </t>
    </r>
  </si>
  <si>
    <t>calcolabili. Il procedimento segue il solito iter.</t>
  </si>
  <si>
    <r>
      <t xml:space="preserve">             h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E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-h] =</t>
    </r>
  </si>
  <si>
    <t xml:space="preserve">questa spinta è orizzontale, con verso opposto a quello </t>
  </si>
  <si>
    <t>dell'asse x (essendo una trazione relativa), ed è applicata nel</t>
  </si>
  <si>
    <r>
      <t xml:space="preserve">centro di spinta, sullaverticale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, ma più in alto.</t>
    </r>
  </si>
  <si>
    <t>questa spinta è verticale con il verso dell'asse z (essendo una</t>
  </si>
  <si>
    <t xml:space="preserve">trazione relativa), ed è applicata nel centro di spinta </t>
  </si>
  <si>
    <t>coincidente con il baricentro.</t>
  </si>
  <si>
    <r>
      <t xml:space="preserve">La componente orizzontale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AB</t>
    </r>
    <r>
      <rPr>
        <sz val="10"/>
        <rFont val="Times New Roman"/>
        <family val="1"/>
      </rPr>
      <t xml:space="preserve"> sulla calotta si calcola considerando la spinta sulla superficie </t>
    </r>
    <r>
      <rPr>
        <i/>
        <sz val="10"/>
        <rFont val="Times New Roman"/>
        <family val="1"/>
      </rPr>
      <t>piana</t>
    </r>
    <r>
      <rPr>
        <sz val="10"/>
        <rFont val="Times New Roman"/>
        <family val="1"/>
      </rPr>
      <t xml:space="preserve"> che si ottiene proiettando la </t>
    </r>
  </si>
  <si>
    <t>orizzontali delle pressioni ivi  agenti. Ne consegue che il calcolo necessario a determinare questa componente è quello solito che si adotta per</t>
  </si>
  <si>
    <t>le superfici piane.</t>
  </si>
  <si>
    <t xml:space="preserve">calotta curva su un piano verticale. In pratica, cioè, sull'"ombra piana" che si ottiene se si illumina con una torcia orientata come le componenti </t>
  </si>
  <si>
    <t xml:space="preserve">Questo è vero a patto che il fluido in questione abbia un peso specifico di una qualche rilevanza. In questo esercizio, però, il fluido che </t>
  </si>
  <si>
    <r>
      <t xml:space="preserve">lambisce la superficie curva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è un areiforme e in molti casi pratici, tra i quali tutti quelli contemplati in questa raccolta di esercizi, il </t>
    </r>
  </si>
  <si>
    <t xml:space="preserve">suo peso specifico è trascurabile. Senza entrare nei dettagli che "dimostrano" il metodo delle componenti, la conseguenza più diretta è che per </t>
  </si>
  <si>
    <t xml:space="preserve">gli areiformi la componente verticale della spinta si calcola allo stesso modo di quella orizzontale; ovvero, nel caso di questo esercizio, </t>
  </si>
  <si>
    <r>
      <t xml:space="preserve">considerando la spinta sulla superficie piana che si ottiene proiettando la calotta curva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su un piano orizzontale; cioè, sull'"ombra</t>
    </r>
  </si>
  <si>
    <t>piana" che si ottiene se si illumina con una torcia orientata come le componenti verticali delle pressioni ivi agenti. Ne consegue che il calcolo</t>
  </si>
  <si>
    <t>necessario a determinare questa componente è quello solito che si adotta per le superfici piane.</t>
  </si>
  <si>
    <t xml:space="preserve">               l'alto).</t>
  </si>
  <si>
    <t xml:space="preserve">questa spinta è orizzontale, ha lo stesso verso dell'asse x - deducibile dal fatto che le </t>
  </si>
  <si>
    <t xml:space="preserve">componenti orizzontali delle pressioni sulla calotta hanno tutte il verso di x - ed è </t>
  </si>
  <si>
    <r>
      <t>applicata nel centro di spinta che coincide con il baricentro "dell'ombra" A'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>.</t>
    </r>
  </si>
  <si>
    <t xml:space="preserve">Non ci si faccia ingannare dal segno meno. Esso compare perché la pressione dell'aria è negativa. In generale, però, i vettori non possono  </t>
  </si>
  <si>
    <r>
      <t>avere modulo negativo. Quindi, più correttamente bisognerebbe dire che S</t>
    </r>
    <r>
      <rPr>
        <sz val="6"/>
        <color indexed="10"/>
        <rFont val="Times New Roman"/>
        <family val="1"/>
      </rPr>
      <t>AB x</t>
    </r>
    <r>
      <rPr>
        <sz val="10"/>
        <color indexed="10"/>
        <rFont val="Times New Roman"/>
        <family val="1"/>
      </rPr>
      <t xml:space="preserve"> ha modulo di 224048 N. Lo stesso vale anche negli altri </t>
    </r>
  </si>
  <si>
    <t xml:space="preserve">esercizi di questa raccolta. </t>
  </si>
  <si>
    <t xml:space="preserve">nelle condizioni di pressionedeterminate dalla posizione del PCI determinata sopra. L'equazione di equilibrio statico applicata a detto volume </t>
  </si>
  <si>
    <t>si scrive:</t>
  </si>
  <si>
    <r>
      <t xml:space="preserve">Un punto 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sull'interfaccia tra aria e fluido di peso specifico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ha pressione identica a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. Da questa pressione e facile risalire alla posizione, </t>
    </r>
  </si>
  <si>
    <r>
      <t xml:space="preserve">rispetto ad 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,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</t>
    </r>
  </si>
  <si>
    <t>questa spinta è verticale, ha verso opposto a quello dell'asse z - deducibile dal fatto</t>
  </si>
  <si>
    <t>che le componenti verticali delle pressioni sulla calotta hanno tutte il verso opposto a</t>
  </si>
  <si>
    <r>
      <t>z - ed è applicata nelcentro di spinta che coincide con il baricentro dell'"ombra" A''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>.</t>
    </r>
  </si>
  <si>
    <r>
      <t xml:space="preserve">Naturalmente, essendo la distribuzione di pressioni su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di tipo radiale, il vettore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AB</t>
    </r>
    <r>
      <rPr>
        <sz val="10"/>
        <rFont val="Times New Roman"/>
        <family val="1"/>
      </rPr>
      <t xml:space="preserve"> sarà anch'esso radiale e "punterà" dal centro di </t>
    </r>
  </si>
  <si>
    <t>curvatura verso l'interno del recipiente.</t>
  </si>
  <si>
    <r>
      <t xml:space="preserve">moto scritta per la corrente che transita tra i due serbatoi. Come incognite si hanno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(ovvero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),  mentre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 ovvero</t>
    </r>
  </si>
  <si>
    <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già stato calcolato al passo precedente.</t>
    </r>
  </si>
  <si>
    <r>
      <t xml:space="preserve">                                           H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-0,5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/(2*g)-J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-m(</t>
    </r>
    <r>
      <rPr>
        <b/>
        <sz val="10"/>
        <rFont val="Symbol"/>
        <family val="1"/>
      </rPr>
      <t>b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(V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-V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/(2*g)-J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H</t>
    </r>
    <r>
      <rPr>
        <b/>
        <sz val="6"/>
        <rFont val="Times New Roman"/>
        <family val="1"/>
      </rPr>
      <t>B</t>
    </r>
  </si>
  <si>
    <r>
      <t xml:space="preserve">La determinazione di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 è elementare.</t>
    </r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</si>
  <si>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n [Pa]/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</si>
  <si>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 xml:space="preserve">m            </t>
  </si>
  <si>
    <r>
      <t xml:space="preserve">                                                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</si>
  <si>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Tramite i seguenti passi si determina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si viene a conoscenza del regime di moto che caratterizza i due tronchi.</t>
    </r>
  </si>
  <si>
    <r>
      <t>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"/>
        <family val="0"/>
      </rPr>
      <t xml:space="preserve"> =</t>
    </r>
  </si>
  <si>
    <r>
      <t>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</si>
  <si>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>Regime Turbolento di Transizione (</t>
    </r>
    <r>
      <rPr>
        <i/>
        <sz val="10"/>
        <rFont val="Times New Roman"/>
        <family val="1"/>
      </rPr>
      <t>RTT</t>
    </r>
    <r>
      <rPr>
        <sz val="10"/>
        <rFont val="Times New Roman"/>
        <family val="1"/>
      </rPr>
      <t>)</t>
    </r>
  </si>
  <si>
    <t>(già noto)</t>
  </si>
  <si>
    <t>Si hanno dunque le seguenti cadenti:</t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</si>
  <si>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</si>
  <si>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</si>
  <si>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(già nota)</t>
  </si>
  <si>
    <t>Le perdite di carico distribuite e localizzate sono di seguito riportate:</t>
  </si>
  <si>
    <r>
      <t>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</si>
  <si>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m(</t>
    </r>
    <r>
      <rPr>
        <sz val="10"/>
        <rFont val="Symbol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Times New Roman"/>
        <family val="1"/>
      </rPr>
      <t>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</si>
  <si>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-0,5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-m(</t>
    </r>
    <r>
      <rPr>
        <sz val="10"/>
        <rFont val="Symbol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 H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</si>
  <si>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t>Determinazione della spinta sul tratto troncoconico (divergente)</t>
  </si>
  <si>
    <r>
      <t>L'</t>
    </r>
    <r>
      <rPr>
        <i/>
        <sz val="10"/>
        <rFont val="Times New Roman"/>
        <family val="1"/>
      </rPr>
      <t>equazione di equilibrio globale</t>
    </r>
    <r>
      <rPr>
        <sz val="10"/>
        <rFont val="Times New Roman"/>
        <family val="1"/>
      </rPr>
      <t xml:space="preserve"> 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costituito dal tratto divergente stesso ha la seguente forma:</t>
    </r>
  </si>
  <si>
    <r>
      <t xml:space="preserve">                                G+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4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+M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-M</t>
    </r>
    <r>
      <rPr>
        <b/>
        <sz val="6"/>
        <rFont val="Times New Roman"/>
        <family val="1"/>
      </rPr>
      <t>4</t>
    </r>
    <r>
      <rPr>
        <b/>
        <sz val="10"/>
        <rFont val="Times New Roman"/>
        <family val="1"/>
      </rPr>
      <t xml:space="preserve"> = 0</t>
    </r>
  </si>
  <si>
    <r>
      <t>h = 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)/(2*tg</t>
    </r>
    <r>
      <rPr>
        <sz val="10"/>
        <rFont val="Symbol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</si>
  <si>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W = 1/3*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*h*[(D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/2)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/2)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/2*D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/2)] =</t>
    </r>
  </si>
  <si>
    <t>volume di controllo.</t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</si>
  <si>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3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</si>
  <si>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</si>
  <si>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</si>
  <si>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3</t>
    </r>
    <r>
      <rPr>
        <i/>
        <sz val="6"/>
        <rFont val="Times New Roman"/>
        <family val="1"/>
      </rPr>
      <t>.</t>
    </r>
  </si>
  <si>
    <r>
      <t>Flusso della quantità di moto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3</t>
    </r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</si>
  <si>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parete piana:</t>
    </r>
  </si>
  <si>
    <r>
      <t xml:space="preserve">●  pressione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</si>
  <si>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 xml:space="preserve">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, ma più in basso.</t>
    </r>
  </si>
  <si>
    <t>L'equilibrio statico del volume individuato richiede che la somma delle forze di massa e di superficie ad esso applicate sia nulla.</t>
  </si>
  <si>
    <r>
      <t xml:space="preserve">Nella traccia bidimensionale del disegno, 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sarà chiaramente passante per il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(asse della calotta) poiché le </t>
    </r>
  </si>
  <si>
    <r>
      <t xml:space="preserve">pressioni di cui è risultante sono radiali "spiccate" verso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è la traccia dell'asse di curvatura della calotta. Essa "punterà" verso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</si>
  <si>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>ed essendo noti i vettori a secondo membro lo è anche la spinta a primo membro. Ne conseguono le componenti:</t>
  </si>
  <si>
    <r>
      <t xml:space="preserve">La componente orizzontale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sulla calotta 1 si calcola considerando la spinta sulla superficie </t>
    </r>
    <r>
      <rPr>
        <i/>
        <sz val="10"/>
        <rFont val="Times New Roman"/>
        <family val="1"/>
      </rPr>
      <t>piana</t>
    </r>
    <r>
      <rPr>
        <sz val="10"/>
        <rFont val="Times New Roman"/>
        <family val="1"/>
      </rPr>
      <t xml:space="preserve"> che si ottiene proiettando la</t>
    </r>
  </si>
  <si>
    <t>calotta curva 1 su un piano verticale. In pratica, cioè, sull'"ombra piana" che si ottiene se si illumina con una torcia orientata come le componenti</t>
  </si>
  <si>
    <t>orizzontali delle pressioni ivi agenti. Ne consegue che il calcolo necessario a determinare questa componente è quello solito che si adotta per le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</si>
  <si>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proiezione piana:</t>
    </r>
  </si>
  <si>
    <r>
      <t xml:space="preserve">applicata nel 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, ma più in basso.</t>
    </r>
  </si>
  <si>
    <r>
      <t>La componente verticale 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corrisponde invece al peso del volume di fluido immaginato compreso tra la calotta ed il PCI del fluido. A tale</t>
    </r>
  </si>
  <si>
    <t>proposito occorre osservare che riguardo al volume compreso tra il PCI e la parte di calotta con convessità verso l'alto, le componenti verticali</t>
  </si>
  <si>
    <r>
      <t xml:space="preserve">Dunque "ripartiamo" sapendo già che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è nota "vettorialmente", ovvero che ammette solamente componente verticale (l'annullamento della </t>
    </r>
  </si>
  <si>
    <r>
      <t>componente orizzontale è stato motivato sopra) 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S = P, e che il suo modulo corrisponde al peso del volume di fluido idealmente compreso</t>
    </r>
  </si>
  <si>
    <r>
      <t xml:space="preserve">tra la superficie curvaed il PCI.  Questo volume è formato da un cono con vertice verso il basso di altezza 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e base di diametro D(h) (già </t>
    </r>
  </si>
  <si>
    <t xml:space="preserve">calcolato) e da un cilindro con la stessa base ed altezza che va dalla sommità del recipiente al PCI. In pratica si tratta del precedentemente </t>
  </si>
  <si>
    <r>
      <t>affondamento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>, che qui però compare come dimensionedi un solido. In ogni caso, per non fare confusione, continuiamo ad indicarlo con h</t>
    </r>
    <r>
      <rPr>
        <sz val="6"/>
        <rFont val="Times New Roman"/>
        <family val="1"/>
      </rPr>
      <t>B1</t>
    </r>
  </si>
  <si>
    <t>e andiamo alla ricerca di questa incognita.</t>
  </si>
  <si>
    <r>
      <t>L'altezza h</t>
    </r>
    <r>
      <rPr>
        <sz val="6"/>
        <rFont val="Symbol"/>
        <family val="1"/>
      </rPr>
      <t>B1</t>
    </r>
    <r>
      <rPr>
        <sz val="10"/>
        <rFont val="Times New Roman"/>
        <family val="1"/>
      </rPr>
      <t xml:space="preserve"> del cilindro di diametro D(h) è l'unica incognita dell'equazione che, quindi, può essere immediatamente risolta rispetto ad essa. </t>
    </r>
  </si>
  <si>
    <t xml:space="preserve">Per conoscere lo stato di sforzo interno al sistema occorre dapprima individuare la pressione in almeno un punto. Il manometro semplice </t>
  </si>
  <si>
    <t xml:space="preserve">applicato sul lato destro adempie proprio a questo compito. Bisogna però fare attenzione al fatto che la superficie libera del fluido </t>
  </si>
  <si>
    <r>
      <t xml:space="preserve">manometrico è più bassa dell'interfaccia tra lo stesso e l'aria (punto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 xml:space="preserve">); questo rende necessario un </t>
    </r>
    <r>
      <rPr>
        <sz val="10"/>
        <color indexed="10"/>
        <rFont val="Times New Roman"/>
        <family val="1"/>
      </rPr>
      <t>segno meno</t>
    </r>
    <r>
      <rPr>
        <sz val="10"/>
        <rFont val="Times New Roman"/>
        <family val="1"/>
      </rPr>
      <t>.</t>
    </r>
  </si>
  <si>
    <r>
      <t xml:space="preserve">     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  </t>
    </r>
    <r>
      <rPr>
        <sz val="10"/>
        <color indexed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</si>
  <si>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r>
      <t>Ora, si consideri un volume di controllo pieno d'aria alla pressione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, realizzato riempiendo lo spazio concavo esterno alla superficie curva </t>
    </r>
  </si>
  <si>
    <r>
      <t xml:space="preserve">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e chiudendo con una superficie piane inclinata di 45° congiungente le tracce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, oltre che con una superficie identica per</t>
    </r>
  </si>
  <si>
    <r>
      <t xml:space="preserve">forma a quella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>. L'equazione di equilibrio statico applicata a detto volume si scrive:</t>
    </r>
  </si>
  <si>
    <r>
      <t xml:space="preserve">nella quale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a</t>
    </r>
    <r>
      <rPr>
        <sz val="10"/>
        <rFont val="Times New Roman"/>
        <family val="1"/>
      </rPr>
      <t xml:space="preserve"> corrisponde al peso del volume di controllo, che in questo caso è nullo perché il fluido è un areiforme,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1a</t>
    </r>
    <r>
      <rPr>
        <sz val="10"/>
        <rFont val="Times New Roman"/>
        <family val="1"/>
      </rPr>
      <t xml:space="preserve"> è la spinta sulla </t>
    </r>
  </si>
  <si>
    <r>
      <t xml:space="preserve"> superficie piana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0a</t>
    </r>
    <r>
      <rPr>
        <sz val="10"/>
        <rFont val="Times New Roman"/>
        <family val="1"/>
      </rPr>
      <t xml:space="preserve"> quella sulla superficie curva.</t>
    </r>
  </si>
  <si>
    <t xml:space="preserve">premuta ed è applicata nel suo baricentro; il segno meno indica che si </t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</si>
  <si>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/[2*g*(C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A</t>
    </r>
    <r>
      <rPr>
        <sz val="6"/>
        <rFont val="Times New Roman"/>
        <family val="1"/>
      </rPr>
      <t>U)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]-Z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</t>
    </r>
  </si>
  <si>
    <r>
      <t xml:space="preserve">   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</si>
  <si>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Esercizio 50 (Tema d'esame del 15 Luglio 2002)</t>
  </si>
  <si>
    <r>
      <t>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</si>
  <si>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 xml:space="preserve"> = </t>
    </r>
  </si>
  <si>
    <r>
      <t>l</t>
    </r>
    <r>
      <rPr>
        <sz val="6"/>
        <rFont val="Times New Roman"/>
        <family val="1"/>
      </rPr>
      <t>00</t>
    </r>
    <r>
      <rPr>
        <sz val="10"/>
        <rFont val="Times New Roman"/>
        <family val="1"/>
      </rPr>
      <t xml:space="preserve"> = (1/4)*[log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(3.71*D/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</si>
  <si>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>Q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 xml:space="preserve"> = A*radq{2*g*(Z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)/[0.5+</t>
    </r>
    <r>
      <rPr>
        <sz val="10"/>
        <rFont val="Symbol"/>
        <family val="1"/>
      </rPr>
      <t>l</t>
    </r>
    <r>
      <rPr>
        <sz val="6"/>
        <rFont val="Times New Roman"/>
        <family val="1"/>
      </rPr>
      <t>00</t>
    </r>
    <r>
      <rPr>
        <sz val="10"/>
        <rFont val="Times New Roman"/>
        <family val="1"/>
      </rPr>
      <t>*L/D+1]} =</t>
    </r>
  </si>
  <si>
    <r>
      <t>Re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 xml:space="preserve"> =4*Q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*D) = </t>
    </r>
  </si>
  <si>
    <t>Il regime risulta turbolento di transizione.</t>
  </si>
  <si>
    <t>L'ipotesi iniziale non è dunque verificata. Bisognerà procedere a</t>
  </si>
  <si>
    <t>successive iterazioni.</t>
  </si>
  <si>
    <t>Iterazione 1</t>
  </si>
  <si>
    <r>
      <t>l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00</t>
    </r>
    <r>
      <rPr>
        <sz val="10"/>
        <rFont val="Times New Roman"/>
        <family val="1"/>
      </rPr>
      <t>*{1+8/[Re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/D]} =</t>
    </r>
  </si>
  <si>
    <r>
      <t>NB</t>
    </r>
    <r>
      <rPr>
        <sz val="10"/>
        <rFont val="Times New Roman"/>
        <family val="1"/>
      </rPr>
      <t xml:space="preserve">: si noti che non è cambiato nulla rispetto all'esercizio 17 ove il </t>
    </r>
  </si>
  <si>
    <t>sistema era "in pressione".</t>
  </si>
  <si>
    <t>I vettori a secondo membro sono già stati determinati. Quindi è immediato dedurre le componenti della spinta a primo membro.</t>
  </si>
  <si>
    <r>
      <t>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= |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| =</t>
    </r>
  </si>
  <si>
    <t>Il modulo risulta:</t>
  </si>
  <si>
    <t>questa spinta è orizzontale, ha verso opposto a quello dell'asse x - deducibile dal fatto che le</t>
  </si>
  <si>
    <t xml:space="preserve">verticali delle pressioni hanno verso dicorde a quello dell'asse z. Esso </t>
  </si>
  <si>
    <t>va considerato "diretto verso il basso", come le componenti suddette,</t>
  </si>
  <si>
    <r>
      <t xml:space="preserve"> con retta d'azione verticale passante per il baricentro di 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>.</t>
    </r>
  </si>
  <si>
    <r>
      <t>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B1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DL+1/4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/4L</t>
    </r>
    <r>
      <rPr>
        <sz val="9"/>
        <rFont val="Times New Roman"/>
        <family val="1"/>
      </rPr>
      <t xml:space="preserve"> =</t>
    </r>
  </si>
  <si>
    <r>
      <t xml:space="preserve">      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>-P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=</t>
    </r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</si>
  <si>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sarà radiale con centro di curvatura coincidente con l'asse della calotta. Il verso, dalla calotta verso l'asse.</t>
    </r>
  </si>
  <si>
    <r>
      <t xml:space="preserve">La componente orizzontale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sulla calotta 2 si ricava (esattamente come per la calotta 1) considerando la spinta sulla superficie </t>
    </r>
  </si>
  <si>
    <r>
      <t xml:space="preserve">    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-d+h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</si>
  <si>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 xml:space="preserve">questa spinta è orizzontale, ha verso opposto a quello dell'asse x - deducibile dal fatto che le </t>
  </si>
  <si>
    <t xml:space="preserve">componenti orizzontali delle pressioni sulla calotta hanno tutte verso contrario ad x - ed è </t>
  </si>
  <si>
    <t>ghisa vecchia, molto incrostata</t>
  </si>
  <si>
    <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</si>
  <si>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t>e tubercolizzata</t>
  </si>
  <si>
    <r>
      <t xml:space="preserve">Derminare </t>
    </r>
    <r>
      <rPr>
        <sz val="10"/>
        <rFont val="Times New Roman"/>
        <family val="1"/>
      </rPr>
      <t xml:space="preserve">le portate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ed il livello del serbatoio di valle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</t>
    </r>
    <r>
      <rPr>
        <sz val="10"/>
        <rFont val="Times New Roman"/>
        <family val="1"/>
      </rPr>
      <t xml:space="preserve">. e la </t>
    </r>
    <r>
      <rPr>
        <i/>
        <sz val="10"/>
        <rFont val="Times New Roman"/>
        <family val="1"/>
      </rPr>
      <t>L.P..</t>
    </r>
  </si>
  <si>
    <r>
      <t>Determinazione della portata circolante Q</t>
    </r>
    <r>
      <rPr>
        <i/>
        <u val="single"/>
        <sz val="6"/>
        <rFont val="Times New Roman"/>
        <family val="1"/>
      </rPr>
      <t>1</t>
    </r>
    <r>
      <rPr>
        <i/>
        <u val="single"/>
        <sz val="10"/>
        <rFont val="Times New Roman"/>
        <family val="1"/>
      </rPr>
      <t xml:space="preserve"> e del livello Z</t>
    </r>
    <r>
      <rPr>
        <i/>
        <u val="single"/>
        <sz val="6"/>
        <rFont val="Times New Roman"/>
        <family val="1"/>
      </rPr>
      <t>V</t>
    </r>
    <r>
      <rPr>
        <i/>
        <u val="single"/>
        <sz val="10"/>
        <rFont val="Times New Roman"/>
        <family val="1"/>
      </rPr>
      <t xml:space="preserve"> del serbatoio di valle </t>
    </r>
  </si>
  <si>
    <r>
      <t xml:space="preserve">Dal dislivello manometrico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che si stabilisce nel manometro differenziale, con prese a distanza '</t>
    </r>
    <r>
      <rPr>
        <i/>
        <sz val="10"/>
        <rFont val="Times New Roman"/>
        <family val="1"/>
      </rPr>
      <t xml:space="preserve"> l </t>
    </r>
    <r>
      <rPr>
        <sz val="10"/>
        <rFont val="Times New Roman"/>
        <family val="1"/>
      </rPr>
      <t xml:space="preserve">' tra loro, </t>
    </r>
  </si>
  <si>
    <r>
      <t xml:space="preserve">è possibile risalire al valore della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transitante nella condotta superiore, a partire dal valore della </t>
    </r>
  </si>
  <si>
    <r>
      <t xml:space="preserve">cadente piezometrica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tra dette sezioni.</t>
    </r>
  </si>
  <si>
    <t>Infatti, tra le sezioni alle quali sono applicate le prese manometriche vale la relazione:</t>
  </si>
  <si>
    <r>
      <t xml:space="preserve">            Z</t>
    </r>
    <r>
      <rPr>
        <sz val="6"/>
        <rFont val="Times New Roman"/>
        <family val="1"/>
      </rPr>
      <t>p.m.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p.m.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 Z</t>
    </r>
    <r>
      <rPr>
        <sz val="6"/>
        <rFont val="Times New Roman"/>
        <family val="1"/>
      </rPr>
      <t>p.v.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p.v.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l</t>
    </r>
  </si>
  <si>
    <r>
      <t xml:space="preserve">            ( )</t>
    </r>
    <r>
      <rPr>
        <i/>
        <sz val="6"/>
        <rFont val="Times New Roman"/>
        <family val="1"/>
      </rPr>
      <t>p.m.</t>
    </r>
    <r>
      <rPr>
        <i/>
        <sz val="10"/>
        <rFont val="Times New Roman"/>
        <family val="1"/>
      </rPr>
      <t xml:space="preserve"> = presa manometrica di monte</t>
    </r>
  </si>
  <si>
    <r>
      <t xml:space="preserve">            ( )</t>
    </r>
    <r>
      <rPr>
        <i/>
        <sz val="6"/>
        <rFont val="Times New Roman"/>
        <family val="1"/>
      </rPr>
      <t>p.v.</t>
    </r>
    <r>
      <rPr>
        <i/>
        <sz val="10"/>
        <rFont val="Times New Roman"/>
        <family val="1"/>
      </rPr>
      <t xml:space="preserve"> = presa manometrica di valle</t>
    </r>
  </si>
  <si>
    <t>Poiché e nota la relazione:</t>
  </si>
  <si>
    <r>
      <t>[Z</t>
    </r>
    <r>
      <rPr>
        <sz val="6"/>
        <rFont val="Times New Roman"/>
        <family val="1"/>
      </rPr>
      <t>p.m.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p.m.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 -[ Z</t>
    </r>
    <r>
      <rPr>
        <sz val="6"/>
        <rFont val="Times New Roman"/>
        <family val="1"/>
      </rPr>
      <t>p.v.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p.v.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]}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</si>
  <si>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t>Combinando le due equazioni si ottiene:</t>
  </si>
  <si>
    <r>
      <t xml:space="preserve">          D</t>
    </r>
    <r>
      <rPr>
        <sz val="10"/>
        <rFont val="Arial"/>
        <family val="0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</si>
  <si>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t>e quindi</t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</si>
  <si>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[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</t>
    </r>
    <r>
      <rPr>
        <sz val="10"/>
        <rFont val="Symbol"/>
        <family val="1"/>
      </rPr>
      <t>/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</si>
  <si>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 xml:space="preserve">L'equazione del moto per una corrente, di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che "va" dal serbatoio di monte a quello di valle è la </t>
    </r>
  </si>
  <si>
    <r>
      <t xml:space="preserve">seguente e presenta come incognita le sole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V</t>
    </r>
    <r>
      <rPr>
        <i/>
        <sz val="10"/>
        <rFont val="Times New Roman"/>
        <family val="1"/>
      </rPr>
      <t xml:space="preserve"> p</t>
    </r>
    <r>
      <rPr>
        <sz val="10"/>
        <rFont val="Times New Roman"/>
        <family val="1"/>
      </rPr>
      <t xml:space="preserve">oiché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è già stata determinata.</t>
    </r>
  </si>
  <si>
    <r>
      <t>Z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-[0,5*</t>
    </r>
    <r>
      <rPr>
        <b/>
        <sz val="10"/>
        <rFont val="Times New Roman"/>
        <family val="1"/>
      </rPr>
      <t>Q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)+J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)]</t>
    </r>
  </si>
  <si>
    <r>
      <t xml:space="preserve">           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= (</t>
    </r>
    <r>
      <rPr>
        <b/>
        <sz val="10"/>
        <rFont val="Symbol"/>
        <family val="1"/>
      </rPr>
      <t>l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)*Q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vertAlign val="subscript"/>
        <sz val="10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</t>
    </r>
  </si>
  <si>
    <r>
      <t>1/radq(</t>
    </r>
    <r>
      <rPr>
        <b/>
        <sz val="10"/>
        <rFont val="Symbol"/>
        <family val="1"/>
      </rPr>
      <t>l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{2,51/[Re*radq(</t>
    </r>
    <r>
      <rPr>
        <b/>
        <sz val="10"/>
        <rFont val="Symbol"/>
        <family val="1"/>
      </rPr>
      <t>l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e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)/3,71]}</t>
    </r>
  </si>
  <si>
    <r>
      <t xml:space="preserve">In realtà, però l'equazione continua ad avere 3 incognite perché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che dipende dalla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non lo si </t>
    </r>
  </si>
  <si>
    <t>consce ancora.</t>
  </si>
  <si>
    <t xml:space="preserve">In questi casi, si procede secondo lo "schema" proposto nell'esercizio 43. Ovvero, si calcola il prodotto del </t>
  </si>
  <si>
    <r>
      <t>numero di Reynolds</t>
    </r>
    <r>
      <rPr>
        <sz val="10"/>
        <rFont val="Times New Roman"/>
        <family val="1"/>
      </rPr>
      <t xml:space="preserve"> per la radice quadrata dell'</t>
    </r>
    <r>
      <rPr>
        <i/>
        <sz val="10"/>
        <rFont val="Times New Roman"/>
        <family val="1"/>
      </rPr>
      <t>indice di resistenza</t>
    </r>
    <r>
      <rPr>
        <sz val="10"/>
        <rFont val="Times New Roman"/>
        <family val="1"/>
      </rPr>
      <t xml:space="preserve">, ottenuta risolvendo rispetto ad essa la </t>
    </r>
  </si>
  <si>
    <r>
      <t xml:space="preserve">relazione di </t>
    </r>
    <r>
      <rPr>
        <i/>
        <sz val="10"/>
        <rFont val="Times New Roman"/>
        <family val="1"/>
      </rPr>
      <t xml:space="preserve">Darcy-Weisbach. Ciò che si ottiene è la possibilità di esplicitare in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la formula di Colebrook-</t>
    </r>
  </si>
  <si>
    <t>White.</t>
  </si>
  <si>
    <r>
      <t xml:space="preserve">      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*radq(2*g*J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</si>
  <si>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Arial"/>
        <family val="2"/>
      </rPr>
      <t>1</t>
    </r>
    <r>
      <rPr>
        <sz val="10"/>
        <rFont val="Arial"/>
        <family val="0"/>
      </rPr>
      <t>/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</si>
  <si>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Sostituendo questi valori nell'equazione di </t>
    </r>
    <r>
      <rPr>
        <i/>
        <sz val="10"/>
        <rFont val="Times New Roman"/>
        <family val="1"/>
      </rPr>
      <t>Colebrook-White</t>
    </r>
    <r>
      <rPr>
        <sz val="10"/>
        <rFont val="Times New Roman"/>
        <family val="1"/>
      </rPr>
      <t xml:space="preserve">, resa esplicita in </t>
    </r>
    <r>
      <rPr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 si ottiene</t>
    </r>
    <r>
      <rPr>
        <i/>
        <sz val="10"/>
        <rFont val="Times New Roman"/>
        <family val="1"/>
      </rPr>
      <t>:</t>
    </r>
  </si>
  <si>
    <r>
      <t xml:space="preserve">                            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</t>
    </r>
    <r>
      <rPr>
        <b/>
        <i/>
        <sz val="10"/>
        <color indexed="12"/>
        <rFont val="Times New Roman"/>
        <family val="1"/>
      </rPr>
      <t>Re</t>
    </r>
    <r>
      <rPr>
        <b/>
        <i/>
        <sz val="6"/>
        <color indexed="12"/>
        <rFont val="Times New Roman"/>
        <family val="1"/>
      </rPr>
      <t>1</t>
    </r>
    <r>
      <rPr>
        <b/>
        <i/>
        <sz val="10"/>
        <color indexed="12"/>
        <rFont val="Times New Roman"/>
        <family val="1"/>
      </rPr>
      <t>*radq(</t>
    </r>
    <r>
      <rPr>
        <b/>
        <i/>
        <sz val="10"/>
        <color indexed="12"/>
        <rFont val="Symbol"/>
        <family val="1"/>
      </rPr>
      <t>l</t>
    </r>
    <r>
      <rPr>
        <b/>
        <i/>
        <sz val="6"/>
        <color indexed="12"/>
        <rFont val="Times New Roman"/>
        <family val="1"/>
      </rPr>
      <t>1</t>
    </r>
    <r>
      <rPr>
        <b/>
        <i/>
        <sz val="10"/>
        <color indexed="12"/>
        <rFont val="Times New Roman"/>
        <family val="1"/>
      </rPr>
      <t>)</t>
    </r>
    <r>
      <rPr>
        <sz val="10"/>
        <rFont val="Times New Roman"/>
        <family val="1"/>
      </rPr>
      <t>]+(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)/3,71}}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</si>
  <si>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t>Ed essendo:</t>
  </si>
  <si>
    <r>
      <t xml:space="preserve">ne consegue che risolvendo rispetto 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la seguente espressione: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</si>
  <si>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</si>
  <si>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si ottiene il risultato cercato:</t>
  </si>
  <si>
    <r>
      <t xml:space="preserve">         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*radq(2*g*D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</si>
  <si>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t xml:space="preserve">a qusto punto la portata è nota e quindi, tramite l'equazione del moto sopra scritta, diventa possibile  risalire al </t>
  </si>
  <si>
    <r>
      <t xml:space="preserve">     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</si>
  <si>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W</t>
  </si>
  <si>
    <t>Determinazione della pressione dell'aria</t>
  </si>
  <si>
    <r>
      <t xml:space="preserve">         p 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 [Hv-Z</t>
    </r>
    <r>
      <rPr>
        <sz val="7"/>
        <rFont val="Times New Roman"/>
        <family val="1"/>
      </rPr>
      <t>v</t>
    </r>
    <r>
      <rPr>
        <sz val="10"/>
        <rFont val="Times New Roman"/>
        <family val="1"/>
      </rPr>
      <t>]*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</si>
  <si>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pari a:</t>
  </si>
  <si>
    <r>
      <t xml:space="preserve">p </t>
    </r>
    <r>
      <rPr>
        <sz val="6"/>
        <rFont val="Times New Roman"/>
        <family val="1"/>
      </rPr>
      <t>ari</t>
    </r>
    <r>
      <rPr>
        <sz val="7"/>
        <rFont val="Times New Roman"/>
        <family val="1"/>
      </rPr>
      <t>a</t>
    </r>
    <r>
      <rPr>
        <sz val="10"/>
        <rFont val="Arial"/>
        <family val="0"/>
      </rPr>
      <t>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</si>
  <si>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Esercizio 48</t>
  </si>
  <si>
    <r>
      <t>m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</si>
  <si>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</si>
  <si>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T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</si>
  <si>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</si>
  <si>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circolante, il carico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 del serbatoio di valle, la pressione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del gas intrappolato </t>
    </r>
  </si>
  <si>
    <r>
      <t xml:space="preserve">nella sommità dello stesso e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T</t>
    </r>
    <r>
      <rPr>
        <sz val="10"/>
        <rFont val="Times New Roman"/>
        <family val="1"/>
      </rPr>
      <t xml:space="preserve"> ritraibile dalla turbina.  Tracciare la L.C.T. e la L.P..</t>
    </r>
  </si>
  <si>
    <t>Determinazione della portata</t>
  </si>
  <si>
    <r>
      <t xml:space="preserve">Equazione del moto per una corrente che "va" dalla sezione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alla sezione </t>
    </r>
    <r>
      <rPr>
        <i/>
        <sz val="10"/>
        <rFont val="Times New Roman"/>
        <family val="1"/>
      </rPr>
      <t>B; incognite: 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Z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B</t>
    </r>
    <r>
      <rPr>
        <i/>
        <sz val="10"/>
        <rFont val="Times New Roman"/>
        <family val="1"/>
      </rPr>
      <t xml:space="preserve"> .</t>
    </r>
  </si>
  <si>
    <r>
      <t>Z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B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(V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-V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</si>
  <si>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>Equazione "tipica" del manometro differenziale accoppiata a quella del moto scritta sopra</t>
    </r>
    <r>
      <rPr>
        <i/>
        <sz val="10"/>
        <rFont val="Times New Roman"/>
        <family val="1"/>
      </rPr>
      <t>.</t>
    </r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</si>
  <si>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sarà radiale con centro di curvatura coincidente con l'asse della calotta.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"spiccherà" dal suddetto asse verso l'interno</t>
    </r>
  </si>
  <si>
    <t>del recipiente.</t>
  </si>
  <si>
    <r>
      <t xml:space="preserve">Il serbatoio è occupato da quattro fluidi (oltre a quello presente nei manometri semplice e differenziale), però la superficie curva di traccia </t>
    </r>
    <r>
      <rPr>
        <b/>
        <sz val="10"/>
        <rFont val="Times New Roman"/>
        <family val="1"/>
      </rPr>
      <t>RR</t>
    </r>
  </si>
  <si>
    <t>è lambita soltanto dai liquidi, quindi per poter calcolare le azioni di questi su di essa occorrerà preventivamente individuare la posizione dei</t>
  </si>
  <si>
    <r>
      <t xml:space="preserve">possibile conoscere la pressione all'interfaccia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con il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e da questa risalire all'affondamento 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, ovvero alla posizione del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</si>
  <si>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rispettivi PCI. Per arrivare a questo risultato l'unica "via" percorribile è quella dell'utilizzo del manometro semplice. Grazie ad esso è infatti </t>
  </si>
  <si>
    <r>
      <t>Determinare</t>
    </r>
    <r>
      <rPr>
        <sz val="10"/>
        <rFont val="Times New Roman"/>
        <family val="1"/>
      </rPr>
      <t xml:space="preserve"> la spinta </t>
    </r>
    <r>
      <rPr>
        <i/>
        <sz val="10"/>
        <rFont val="Times New Roman"/>
        <family val="1"/>
      </rPr>
      <t>netta</t>
    </r>
    <r>
      <rPr>
        <sz val="10"/>
        <rFont val="Times New Roman"/>
        <family val="1"/>
      </rPr>
      <t xml:space="preserve"> sulla calotta cilindrica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. </t>
    </r>
  </si>
  <si>
    <r>
      <t>Ora, grazie al manometro differenziale è facile risalire alla pressione della CO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all'intefaccia con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(punto </t>
    </r>
    <r>
      <rPr>
        <b/>
        <sz val="10"/>
        <rFont val="Times New Roman"/>
        <family val="1"/>
      </rPr>
      <t>T)</t>
    </r>
    <r>
      <rPr>
        <sz val="10"/>
        <rFont val="Times New Roman"/>
        <family val="1"/>
      </rPr>
      <t xml:space="preserve"> e quindi anche in un punto </t>
    </r>
    <r>
      <rPr>
        <b/>
        <sz val="10"/>
        <rFont val="Times New Roman"/>
        <family val="1"/>
      </rPr>
      <t>N</t>
    </r>
  </si>
  <si>
    <r>
      <t xml:space="preserve">all'interfaccia tra il gas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. Nota questa pressione è immediato riconoscere la posizione del PCI del liquido.</t>
    </r>
  </si>
  <si>
    <t>Le posizioni dei PCI di tutti i fluidi che lambiscono la parete curva sono ora note. Il calcolo delle azioni da essi esercitate puo essere eseguito,</t>
  </si>
  <si>
    <r>
      <t xml:space="preserve">ad esempio, calcolando dapprima l'azione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, immaginato compreso all'interno della faccia concava della calotta, e poi quella </t>
    </r>
  </si>
  <si>
    <r>
      <t xml:space="preserve">complessiva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usando un volume di controllo di fatto coincidente con quello da essi occupato nel sistema reale.</t>
    </r>
  </si>
  <si>
    <r>
      <t xml:space="preserve">Come detto, si immagina di operare su un volume di controllo costituito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e avente le dimensioni e la forma del volume che nel sistema </t>
    </r>
  </si>
  <si>
    <r>
      <t xml:space="preserve">reale è occupato (all'interno della calotta) dai fluidi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. Le superfici di chiusura sono quindi corrispondenti alla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sia per la parte </t>
    </r>
  </si>
  <si>
    <r>
      <t xml:space="preserve">curva che per quella piana. Indicando con </t>
    </r>
    <r>
      <rPr>
        <b/>
        <sz val="10"/>
        <rFont val="Times New Roman"/>
        <family val="1"/>
      </rPr>
      <t>G(3)</t>
    </r>
    <r>
      <rPr>
        <sz val="10"/>
        <rFont val="Times New Roman"/>
        <family val="1"/>
      </rPr>
      <t xml:space="preserve"> la forza di massa e con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rispettivamente la spinta sulla superficie piana e su </t>
    </r>
  </si>
  <si>
    <t>quella curva, l'equazione di equilibrio statico applicata al volume di controllo si scrive:</t>
  </si>
  <si>
    <r>
      <t xml:space="preserve">Il vettore </t>
    </r>
    <r>
      <rPr>
        <b/>
        <sz val="10"/>
        <rFont val="Times New Roman"/>
        <family val="1"/>
      </rPr>
      <t>G(3)</t>
    </r>
    <r>
      <rPr>
        <sz val="10"/>
        <rFont val="Times New Roman"/>
        <family val="1"/>
      </rPr>
      <t xml:space="preserve"> è verticale, diretto verso il basso, con retta d'azione </t>
    </r>
  </si>
  <si>
    <t>passante per il baricentro del volume di controllo.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</si>
  <si>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3</t>
    </r>
    <r>
      <rPr>
        <sz val="10"/>
        <rFont val="Times New Roman"/>
        <family val="1"/>
      </rPr>
      <t xml:space="preserve"> della parete piana:</t>
    </r>
  </si>
  <si>
    <r>
      <t xml:space="preserve">●  pressione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3</t>
    </r>
    <r>
      <rPr>
        <sz val="10"/>
        <rFont val="Times New Roman"/>
        <family val="1"/>
      </rPr>
      <t>:</t>
    </r>
  </si>
  <si>
    <r>
      <t xml:space="preserve">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3</t>
    </r>
    <r>
      <rPr>
        <sz val="10"/>
        <rFont val="Times New Roman"/>
        <family val="1"/>
      </rPr>
      <t>, ma più in basso.</t>
    </r>
  </si>
  <si>
    <r>
      <t xml:space="preserve">Si considera ora un volume di controllo costituito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identico a quello occupato da questi liquidi nel sistema reale, avente come </t>
    </r>
  </si>
  <si>
    <r>
      <t xml:space="preserve">superficie di chiusura la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sia per la parte curva che per quella piana. </t>
    </r>
  </si>
  <si>
    <r>
      <t xml:space="preserve">dove 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(1, 2)</t>
    </r>
    <r>
      <rPr>
        <sz val="10"/>
        <rFont val="Times New Roman"/>
        <family val="1"/>
      </rPr>
      <t xml:space="preserve"> corrisponde esattamente all'opposto </t>
    </r>
  </si>
  <si>
    <r>
      <t xml:space="preserve">dell'incognita </t>
    </r>
    <r>
      <rPr>
        <b/>
        <sz val="10"/>
        <rFont val="Times New Roman"/>
        <family val="1"/>
      </rPr>
      <t>S(1, 2)</t>
    </r>
    <r>
      <rPr>
        <sz val="10"/>
        <rFont val="Times New Roman"/>
        <family val="1"/>
      </rPr>
      <t xml:space="preserve">. </t>
    </r>
  </si>
  <si>
    <r>
      <t xml:space="preserve">ed essendo noti i vettori a secondo membro lo è anche </t>
    </r>
    <r>
      <rPr>
        <b/>
        <sz val="10"/>
        <rFont val="Times New Roman"/>
        <family val="1"/>
      </rPr>
      <t>S(1, 2)</t>
    </r>
    <r>
      <rPr>
        <sz val="10"/>
        <rFont val="Times New Roman"/>
        <family val="1"/>
      </rPr>
      <t xml:space="preserve"> con le</t>
    </r>
  </si>
  <si>
    <t>sue componenti.</t>
  </si>
  <si>
    <r>
      <t xml:space="preserve">Indicando con </t>
    </r>
    <r>
      <rPr>
        <b/>
        <sz val="10"/>
        <rFont val="Times New Roman"/>
        <family val="1"/>
      </rPr>
      <t>G(1) e G( 2)</t>
    </r>
    <r>
      <rPr>
        <sz val="10"/>
        <rFont val="Times New Roman"/>
        <family val="1"/>
      </rPr>
      <t xml:space="preserve"> le forze di massa corrispondenti alla peso di volume di controllo occupato rispettivamente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, con </t>
    </r>
  </si>
  <si>
    <r>
      <t xml:space="preserve">componenti della spinta del fluido sulla superficie tratteggiata. Tracciare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>.</t>
    </r>
  </si>
  <si>
    <r>
      <t>Determinazione della portata Q</t>
    </r>
    <r>
      <rPr>
        <i/>
        <u val="single"/>
        <sz val="6"/>
        <rFont val="Times New Roman"/>
        <family val="1"/>
      </rPr>
      <t>a</t>
    </r>
    <r>
      <rPr>
        <i/>
        <u val="single"/>
        <sz val="10"/>
        <rFont val="Times New Roman"/>
        <family val="1"/>
      </rPr>
      <t xml:space="preserve"> tramite la lettura del dislivello </t>
    </r>
    <r>
      <rPr>
        <i/>
        <u val="single"/>
        <sz val="10"/>
        <rFont val="Symbol"/>
        <family val="1"/>
      </rPr>
      <t>D</t>
    </r>
    <r>
      <rPr>
        <i/>
        <u val="single"/>
        <sz val="10"/>
        <rFont val="Times New Roman"/>
        <family val="1"/>
      </rPr>
      <t xml:space="preserve"> al manometro differenziale</t>
    </r>
  </si>
  <si>
    <r>
      <t xml:space="preserve">Chiamate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le sezioni in corrispondenza delle prese manometriche, è possibile scrivere tra esse l'equazione del moto ed  </t>
    </r>
  </si>
  <si>
    <r>
      <t xml:space="preserve">Determinare </t>
    </r>
    <r>
      <rPr>
        <sz val="10"/>
        <rFont val="Times New Roman"/>
        <family val="1"/>
      </rPr>
      <t xml:space="preserve">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transitante ed il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del serbatoio di valle.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linea dei carichi  totali (L.C.T.)</t>
    </r>
  </si>
  <si>
    <r>
      <t>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>).</t>
    </r>
    <r>
      <rPr>
        <sz val="5"/>
        <rFont val="Times New Roman"/>
        <family val="1"/>
      </rPr>
      <t xml:space="preserve"> </t>
    </r>
  </si>
  <si>
    <r>
      <t xml:space="preserve">Si prenda ad esempio un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sulla superficie libera del serbatoio di monte. La sua energia meccanica totale è soltanto</t>
    </r>
  </si>
  <si>
    <r>
      <t>potenziale e corrisponde a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; questo perchè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non è né in imovimento (o quasi) né affondato sotto il PCI del serbatoio e </t>
    </r>
  </si>
  <si>
    <t>d'azione passante per il baricentro di questo volume.</t>
  </si>
  <si>
    <t>estraendone la radice quadrata.</t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</si>
  <si>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sarà radiale con centro di curvatura coincidente con l'asse della calotta. Il verso,  dall'asse "contro" la calotta.</t>
    </r>
  </si>
  <si>
    <r>
      <t xml:space="preserve">La retta d'azione di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sarà radiale con centro di curvatura coincidente con l'asse della calotta.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"punterà" verso il suddetto asse.</t>
    </r>
  </si>
  <si>
    <r>
      <t>Equazione del moto per una corrente che "va" dal un serbatoio di monte alla sezione contratta di sbocco;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incognite: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</si>
  <si>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D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</si>
  <si>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t>Quindi lo strumento indicherà in bar proprio questa pressione.</t>
  </si>
  <si>
    <r>
      <t>Determinare</t>
    </r>
    <r>
      <rPr>
        <sz val="10"/>
        <rFont val="Times New Roman"/>
        <family val="1"/>
      </rPr>
      <t xml:space="preserve"> il dislivello manometrico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e l'indicazione n [bar] del manometro metallico.</t>
    </r>
  </si>
  <si>
    <t>seguenti formule:</t>
  </si>
  <si>
    <r>
      <t xml:space="preserve">La differenza di quota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tra i piani dei carichi idrostatici nei due serbatoi è legata ai dislivelli manometrici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dalle </t>
    </r>
  </si>
  <si>
    <r>
      <t xml:space="preserve">Risolvendo la prima rispetto a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la seconda rispetto a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si ottiene:</t>
    </r>
  </si>
  <si>
    <r>
      <t xml:space="preserve">     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[(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m2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=</t>
    </r>
  </si>
  <si>
    <r>
      <t xml:space="preserve">Nel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, all'interfaccia tra il fluido manometrico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e quello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presente nel recipiente, la pressione vale:</t>
    </r>
  </si>
  <si>
    <r>
      <t xml:space="preserve">La stessa pressione si ottiene anche considerando il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affondato di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rispetto al PCI del fluido manometrico.</t>
    </r>
  </si>
  <si>
    <r>
      <t>Determinare</t>
    </r>
    <r>
      <rPr>
        <sz val="10"/>
        <rFont val="Times New Roman"/>
        <family val="1"/>
      </rPr>
      <t xml:space="preserve"> la pressione sul fondo (punto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) e sulla superficie superiore (punto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) del serbatoio.</t>
    </r>
  </si>
  <si>
    <r>
      <t xml:space="preserve">Partendo dal PCI del fluido manometrico, la pressione all'interfaccia </t>
    </r>
    <r>
      <rPr>
        <b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tra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vale:</t>
    </r>
  </si>
  <si>
    <r>
      <t>e quindi l'affondamento h</t>
    </r>
    <r>
      <rPr>
        <sz val="6"/>
        <rFont val="Times New Roman"/>
        <family val="1"/>
      </rPr>
      <t xml:space="preserve">A </t>
    </r>
    <r>
      <rPr>
        <sz val="10"/>
        <rFont val="Times New Roman"/>
        <family val="1"/>
      </rPr>
      <t xml:space="preserve">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si determina come:</t>
    </r>
  </si>
  <si>
    <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; in questo caso si calcola come:</t>
    </r>
  </si>
  <si>
    <r>
      <t>h</t>
    </r>
    <r>
      <rPr>
        <sz val="6"/>
        <rFont val="Times New Roman"/>
        <family val="1"/>
      </rPr>
      <t>F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-a+b =</t>
    </r>
  </si>
  <si>
    <t xml:space="preserve">dunque: </t>
  </si>
  <si>
    <r>
      <t xml:space="preserve">al punto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sul fondo; cioè</t>
    </r>
  </si>
  <si>
    <t>(c. v. d.)</t>
  </si>
  <si>
    <r>
      <t xml:space="preserve">Per trovare la pressione esercitata sulla sommità del serbatoio (punto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) conviene dapprima ricavare la posizione del </t>
    </r>
  </si>
  <si>
    <r>
      <t xml:space="preserve">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poiché è questo fluido a lambire la sommità del serbatoio. Questa ricerca può essere svolta determinando la </t>
    </r>
  </si>
  <si>
    <r>
      <t xml:space="preserve">pressione per un punto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all'interfaccia tra i fluidi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e, tramite questa, il suo affondamento h''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</si>
  <si>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L'affondamento del punto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vale:</t>
    </r>
  </si>
  <si>
    <t>e la sua pressione:</t>
  </si>
  <si>
    <r>
      <t xml:space="preserve">         h'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(a+c) =</t>
    </r>
  </si>
  <si>
    <t>Trattandosi di un punto d'interfaccia vale anche la relazione:</t>
  </si>
  <si>
    <r>
      <t>dove con h''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si è indicato l'affondamento di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; dunque:</t>
    </r>
  </si>
  <si>
    <t>serbatoio.</t>
  </si>
  <si>
    <r>
      <t xml:space="preserve">A questo punto è facile determinare l'affondamento di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quindi la pressione sulla sommità del</t>
    </r>
  </si>
  <si>
    <r>
      <t>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 h''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-h =</t>
    </r>
  </si>
  <si>
    <t>Esercizio 15 (Tema d'esame del 13 Luglio 2004)</t>
  </si>
  <si>
    <t>Esercizio 33</t>
  </si>
  <si>
    <r>
      <t xml:space="preserve">                      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/[2*g*(C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A</t>
    </r>
    <r>
      <rPr>
        <sz val="6"/>
        <rFont val="Times New Roman"/>
        <family val="1"/>
      </rPr>
      <t>U)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]-Z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</t>
    </r>
  </si>
  <si>
    <r>
      <t>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</si>
  <si>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t>La potenza assorbita dalla pompa si calcola, da definizione, come:</t>
  </si>
  <si>
    <t>Determinazione della spinta sul tratto curvo A-C</t>
  </si>
  <si>
    <t>L'equazione di equilibrio globale applicata al volume di controllo rappresentato dal tratto in esame, nel quale si comprende il volume</t>
  </si>
  <si>
    <t>di fluido compreso tra lo sbocco e la sezione contratta ha la seguente forma:</t>
  </si>
  <si>
    <r>
      <t xml:space="preserve">                 W =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+ 1/3*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*[D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U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/4] =</t>
    </r>
  </si>
  <si>
    <r>
      <t xml:space="preserve">       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</si>
  <si>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S = p</t>
    </r>
    <r>
      <rPr>
        <sz val="6"/>
        <rFont val="Times New Roman"/>
        <family val="1"/>
      </rPr>
      <t xml:space="preserve">G </t>
    </r>
    <r>
      <rPr>
        <sz val="10"/>
        <rFont val="Times New Roman"/>
        <family val="1"/>
      </rPr>
      <t>A =</t>
    </r>
  </si>
  <si>
    <r>
      <t>M =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A =</t>
    </r>
  </si>
  <si>
    <r>
      <t xml:space="preserve">      I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1/12 L 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</si>
  <si>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= I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/M =</t>
    </r>
  </si>
  <si>
    <r>
      <t xml:space="preserve">      b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 a/2+</t>
    </r>
    <r>
      <rPr>
        <sz val="10"/>
        <rFont val="Symbol"/>
        <family val="1"/>
      </rPr>
      <t>x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</si>
  <si>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R = S b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/a =</t>
    </r>
  </si>
  <si>
    <r>
      <t>Le formule per determinare 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= 1, 2),  nel caso di tubi lisci, sono le seguenti</t>
    </r>
    <r>
      <rPr>
        <i/>
        <sz val="10"/>
        <rFont val="Times New Roman"/>
        <family val="1"/>
      </rPr>
      <t>:</t>
    </r>
  </si>
  <si>
    <t>Tubi lisci - formula di Blasius</t>
  </si>
  <si>
    <r>
      <t>l</t>
    </r>
    <r>
      <rPr>
        <b/>
        <sz val="10"/>
        <rFont val="Times New Roman"/>
        <family val="1"/>
      </rPr>
      <t xml:space="preserve"> = 0,316*Re</t>
    </r>
    <r>
      <rPr>
        <b/>
        <vertAlign val="superscript"/>
        <sz val="10"/>
        <rFont val="Times New Roman"/>
        <family val="1"/>
      </rPr>
      <t>-0,25</t>
    </r>
    <r>
      <rPr>
        <b/>
        <sz val="10"/>
        <rFont val="Times New Roman"/>
        <family val="1"/>
      </rPr>
      <t xml:space="preserve"> </t>
    </r>
  </si>
  <si>
    <t>Ne risultano le seguenti cadenti:</t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</si>
  <si>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Arial"/>
        <family val="2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</si>
  <si>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Le perdite di carico, continue e localizzate, presentano i seguenti valori:</t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</si>
  <si>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imb</t>
    </r>
    <r>
      <rPr>
        <sz val="10"/>
        <rFont val="Times New Roman"/>
        <family val="1"/>
      </rPr>
      <t xml:space="preserve"> = 0,5*</t>
    </r>
    <r>
      <rPr>
        <sz val="10"/>
        <rFont val="Arial"/>
        <family val="0"/>
      </rPr>
      <t>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</si>
  <si>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Re</t>
    </r>
    <r>
      <rPr>
        <i/>
        <vertAlign val="superscript"/>
        <sz val="10"/>
        <rFont val="Times New Roman"/>
        <family val="1"/>
      </rPr>
      <t>(IV)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  <r>
      <rPr>
        <i/>
        <sz val="10"/>
        <rFont val="Times New Roman"/>
        <family val="1"/>
      </rPr>
      <t xml:space="preserve"> Re</t>
    </r>
    <r>
      <rPr>
        <i/>
        <vertAlign val="superscript"/>
        <sz val="10"/>
        <rFont val="Times New Roman"/>
        <family val="1"/>
      </rPr>
      <t>(III)</t>
    </r>
  </si>
  <si>
    <t>Verifica della pressione all'imbocco</t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</si>
  <si>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/(2*g)+0,1*V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</si>
  <si>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t>I valori di velocità, nel tratto indagato, valgono rispettivamente:</t>
  </si>
  <si>
    <r>
      <t>V = Q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>/A =</t>
    </r>
  </si>
  <si>
    <r>
      <t xml:space="preserve">      V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Q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>/(Cc*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) =</t>
    </r>
  </si>
  <si>
    <r>
      <t xml:space="preserve">             0,1*V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</si>
  <si>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Q =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/[A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[2 g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 </t>
    </r>
  </si>
  <si>
    <t>Poiché il convergente è un dispositivo che non dà luogo a perdite di carico si troverà che la stessa formula sopra ricavata</t>
  </si>
  <si>
    <t>che può essere facilmente ricavata srivendo:</t>
  </si>
  <si>
    <r>
      <t>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A  </t>
    </r>
    <r>
      <rPr>
        <sz val="10"/>
        <rFont val="Times New Roman"/>
        <family val="1"/>
      </rPr>
      <t>-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</si>
  <si>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 xml:space="preserve">vale anche nel caso dei </t>
    </r>
    <r>
      <rPr>
        <i/>
        <sz val="10"/>
        <rFont val="Times New Roman"/>
        <family val="1"/>
      </rPr>
      <t>fluidi reali</t>
    </r>
    <r>
      <rPr>
        <sz val="10"/>
        <rFont val="Times New Roman"/>
        <family val="1"/>
      </rPr>
      <t xml:space="preserve">. Questa formula è nota come </t>
    </r>
    <r>
      <rPr>
        <i/>
        <sz val="10"/>
        <rFont val="Times New Roman"/>
        <family val="1"/>
      </rPr>
      <t>formula del venturimetro</t>
    </r>
    <r>
      <rPr>
        <sz val="10"/>
        <rFont val="Times New Roman"/>
        <family val="1"/>
      </rPr>
      <t>.</t>
    </r>
  </si>
  <si>
    <t xml:space="preserve">° </t>
  </si>
  <si>
    <r>
      <t xml:space="preserve">r </t>
    </r>
    <r>
      <rPr>
        <sz val="10"/>
        <rFont val="Times New Roman"/>
        <family val="1"/>
      </rPr>
      <t>=</t>
    </r>
  </si>
  <si>
    <r>
      <t>kg/m</t>
    </r>
    <r>
      <rPr>
        <vertAlign val="superscript"/>
        <sz val="10"/>
        <rFont val="Times New Roman"/>
        <family val="1"/>
      </rPr>
      <t>3</t>
    </r>
  </si>
  <si>
    <r>
      <t xml:space="preserve">a </t>
    </r>
    <r>
      <rPr>
        <sz val="10"/>
        <rFont val="Times New Roman"/>
        <family val="1"/>
      </rPr>
      <t>=</t>
    </r>
  </si>
  <si>
    <r>
      <t>N/m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</si>
  <si>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g</t>
    </r>
    <r>
      <rPr>
        <sz val="6"/>
        <rFont val="Arial"/>
        <family val="2"/>
      </rPr>
      <t>m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</si>
  <si>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>e</t>
    </r>
    <r>
      <rPr>
        <sz val="6"/>
        <rFont val="Symbol"/>
        <family val="1"/>
      </rPr>
      <t>2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</si>
  <si>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>Determinare</t>
    </r>
    <r>
      <rPr>
        <sz val="10"/>
        <rFont val="Times New Roman"/>
        <family val="1"/>
      </rPr>
      <t xml:space="preserve">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circolante, Il livello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nel serbatoio di valle e le componenti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sul tronco divergente.</t>
    </r>
  </si>
  <si>
    <r>
      <t>Tracciare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L.C.T</t>
    </r>
    <r>
      <rPr>
        <sz val="10"/>
        <rFont val="Times New Roman"/>
        <family val="1"/>
      </rPr>
      <t xml:space="preserve">. e 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>.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</si>
  <si>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Arial"/>
        <family val="2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</si>
  <si>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</si>
  <si>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</si>
  <si>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Esercizio 39 (primo caso)</t>
  </si>
  <si>
    <r>
      <t>e</t>
    </r>
    <r>
      <rPr>
        <sz val="6"/>
        <rFont val="Symbol"/>
        <family val="1"/>
      </rPr>
      <t>1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</si>
  <si>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t xml:space="preserve">m    (tubo liscio) </t>
  </si>
  <si>
    <r>
      <t>e</t>
    </r>
    <r>
      <rPr>
        <sz val="6"/>
        <rFont val="Symbol"/>
        <family val="1"/>
      </rPr>
      <t xml:space="preserve">2 </t>
    </r>
    <r>
      <rPr>
        <sz val="10"/>
        <rFont val="Times New Roman"/>
        <family val="1"/>
      </rPr>
      <t>=</t>
    </r>
  </si>
  <si>
    <r>
      <t xml:space="preserve">g </t>
    </r>
    <r>
      <rPr>
        <sz val="10"/>
        <rFont val="Symbol"/>
        <family val="1"/>
      </rPr>
      <t xml:space="preserve"> =</t>
    </r>
  </si>
  <si>
    <r>
      <t>N/m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  (Kerosene)</t>
    </r>
  </si>
  <si>
    <r>
      <t xml:space="preserve">n </t>
    </r>
    <r>
      <rPr>
        <sz val="10"/>
        <rFont val="Symbol"/>
        <family val="1"/>
      </rPr>
      <t xml:space="preserve"> =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</si>
  <si>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   (Kerosene)</t>
    </r>
  </si>
  <si>
    <r>
      <t>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</si>
  <si>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il livello di monte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verificare </t>
    </r>
    <r>
      <rPr>
        <sz val="10"/>
        <rFont val="Times New Roman"/>
        <family val="1"/>
      </rPr>
      <t xml:space="preserve">la pressione all'imbocco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</t>
    </r>
    <r>
      <rPr>
        <sz val="10"/>
        <rFont val="Times New Roman"/>
        <family val="1"/>
      </rPr>
      <t xml:space="preserve">. e la </t>
    </r>
    <r>
      <rPr>
        <i/>
        <sz val="10"/>
        <rFont val="Times New Roman"/>
        <family val="1"/>
      </rPr>
      <t>L.P.</t>
    </r>
  </si>
  <si>
    <r>
      <t>Determinazione del livello di monte Z</t>
    </r>
    <r>
      <rPr>
        <i/>
        <u val="single"/>
        <sz val="6"/>
        <rFont val="Times New Roman"/>
        <family val="1"/>
      </rPr>
      <t>A</t>
    </r>
  </si>
  <si>
    <r>
      <t xml:space="preserve">       Z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vertAlign val="subscript"/>
        <sz val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/(2*g)+0,5*</t>
    </r>
    <r>
      <rPr>
        <b/>
        <sz val="10"/>
        <rFont val="Times New Roman"/>
        <family val="1"/>
      </rPr>
      <t>V</t>
    </r>
    <r>
      <rPr>
        <b/>
        <vertAlign val="subscript"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+J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2</t>
    </r>
  </si>
  <si>
    <r>
      <t xml:space="preserve">        J</t>
    </r>
    <r>
      <rPr>
        <b/>
        <sz val="6"/>
        <rFont val="Times New Roman"/>
        <family val="1"/>
      </rPr>
      <t>1, 2</t>
    </r>
    <r>
      <rPr>
        <b/>
        <sz val="10"/>
        <rFont val="Times New Roman"/>
        <family val="1"/>
      </rPr>
      <t xml:space="preserve"> = (</t>
    </r>
    <r>
      <rPr>
        <b/>
        <sz val="10"/>
        <rFont val="Symbol"/>
        <family val="1"/>
      </rPr>
      <t>l</t>
    </r>
    <r>
      <rPr>
        <b/>
        <sz val="6"/>
        <rFont val="Symbol"/>
        <family val="1"/>
      </rPr>
      <t>1, 2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1, 2</t>
    </r>
    <r>
      <rPr>
        <b/>
        <sz val="10"/>
        <rFont val="Times New Roman"/>
        <family val="1"/>
      </rPr>
      <t>)*V</t>
    </r>
    <r>
      <rPr>
        <b/>
        <sz val="6"/>
        <rFont val="Times New Roman"/>
        <family val="1"/>
      </rPr>
      <t>1, 2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</si>
  <si>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 xml:space="preserve">Equazione del moto per una corrente che "va" dal serbatoio di monte allo sbocco; incognite: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>, J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</si>
  <si>
    <r>
      <t xml:space="preserve">(oppure,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>,</t>
    </r>
    <r>
      <rPr>
        <i/>
        <sz val="10"/>
        <rFont val="Symbol"/>
        <family val="1"/>
      </rPr>
      <t xml:space="preserve"> 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: è la stessa cosa).</t>
    </r>
  </si>
  <si>
    <t>?</t>
  </si>
  <si>
    <r>
      <t>V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</si>
  <si>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 xml:space="preserve">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</si>
  <si>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</si>
  <si>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     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</si>
  <si>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        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</si>
  <si>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Vengono calcolati i </t>
    </r>
    <r>
      <rPr>
        <i/>
        <sz val="10"/>
        <rFont val="Times New Roman"/>
        <family val="1"/>
      </rPr>
      <t>numeri di Reynolds</t>
    </r>
    <r>
      <rPr>
        <sz val="10"/>
        <rFont val="Times New Roman"/>
        <family val="1"/>
      </rPr>
      <t xml:space="preserve">, serviranno per ricavare i </t>
    </r>
    <r>
      <rPr>
        <i/>
        <sz val="10"/>
        <rFont val="Times New Roman"/>
        <family val="1"/>
      </rPr>
      <t xml:space="preserve">coefficienti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 </t>
    </r>
  </si>
  <si>
    <r>
      <t>analititicamente o per via grafica, mediante 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>.</t>
    </r>
  </si>
  <si>
    <r>
      <t xml:space="preserve">    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</si>
  <si>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 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</si>
  <si>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</si>
  <si>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Da cui il risultato:</t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</si>
  <si>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/(2*g)+0,5*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</si>
  <si>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Tubi lisci - formula di Prandtl-Von Kàrmàn</t>
  </si>
  <si>
    <r>
      <t>1/radq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 xml:space="preserve">) = </t>
    </r>
    <r>
      <rPr>
        <b/>
        <sz val="10"/>
        <rFont val="Times New Roman"/>
        <family val="1"/>
      </rPr>
      <t>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{2,51/[Re*radq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)</t>
    </r>
    <r>
      <rPr>
        <b/>
        <sz val="10"/>
        <rFont val="Times New Roman"/>
        <family val="1"/>
      </rPr>
      <t>]}</t>
    </r>
  </si>
  <si>
    <t xml:space="preserve">              Prandtl-Von Kàrmàn = 0</t>
  </si>
  <si>
    <t xml:space="preserve">                 Prandtl-Von Kàrmàn = 0</t>
  </si>
  <si>
    <r>
      <t xml:space="preserve"> 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imb</t>
    </r>
    <r>
      <rPr>
        <sz val="10"/>
        <rFont val="Times New Roman"/>
        <family val="1"/>
      </rPr>
      <t xml:space="preserve"> = 0,5*</t>
    </r>
    <r>
      <rPr>
        <sz val="10"/>
        <rFont val="Symbol"/>
        <family val="1"/>
      </rPr>
      <t>a</t>
    </r>
    <r>
      <rPr>
        <sz val="10"/>
        <rFont val="Arial"/>
        <family val="0"/>
      </rPr>
      <t>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</si>
  <si>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</si>
  <si>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Verifica della pressione p</t>
    </r>
    <r>
      <rPr>
        <i/>
        <u val="single"/>
        <sz val="6"/>
        <rFont val="Times New Roman"/>
        <family val="1"/>
      </rPr>
      <t>C</t>
    </r>
    <r>
      <rPr>
        <i/>
        <u val="single"/>
        <sz val="10"/>
        <rFont val="Times New Roman"/>
        <family val="1"/>
      </rPr>
      <t xml:space="preserve"> all'imbocco</t>
    </r>
  </si>
  <si>
    <r>
      <t>Z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/(2*g)+0,1*V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</si>
  <si>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 xml:space="preserve">Equazione del moto per una corrente che "va" dal serbatoio di monte alla sezione contratta; incognita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i/>
        <sz val="10"/>
        <rFont val="Times New Roman"/>
        <family val="1"/>
      </rPr>
      <t>.</t>
    </r>
  </si>
  <si>
    <r>
      <t xml:space="preserve">     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Prandtl-Von Kàrmàn</t>
    </r>
    <r>
      <rPr>
        <sz val="10"/>
        <rFont val="Times New Roman"/>
        <family val="1"/>
      </rPr>
      <t>) =</t>
    </r>
  </si>
  <si>
    <r>
      <t xml:space="preserve">una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dovuta al gas sul tratto di altezza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;</t>
    </r>
  </si>
  <si>
    <r>
      <t xml:space="preserve">una spinta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1</t>
    </r>
    <r>
      <rPr>
        <sz val="10"/>
        <rFont val="Times New Roman"/>
        <family val="1"/>
      </rPr>
      <t xml:space="preserve"> dovuta 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 tratto di altezza b </t>
    </r>
    <r>
      <rPr>
        <sz val="10"/>
        <rFont val="Times New Roman"/>
        <family val="1"/>
      </rPr>
      <t>;</t>
    </r>
  </si>
  <si>
    <t>a destra</t>
  </si>
  <si>
    <r>
      <t xml:space="preserve">Per il calcolo della spinta orizzontale </t>
    </r>
    <r>
      <rPr>
        <i/>
        <sz val="10"/>
        <rFont val="Times New Roman"/>
        <family val="1"/>
      </rPr>
      <t>netta</t>
    </r>
    <r>
      <rPr>
        <sz val="10"/>
        <rFont val="Times New Roman"/>
        <family val="1"/>
      </rPr>
      <t xml:space="preserve"> sulla superficie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 si noti anzitutto che la parte alta 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è soggetta da ambo i lati ad</t>
    </r>
  </si>
  <si>
    <r>
      <t xml:space="preserve">Si cominci con la determinazione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esercitata dal gas sulla parte della parete alta 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da esso premuta.</t>
    </r>
  </si>
  <si>
    <r>
      <t>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</si>
  <si>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 xml:space="preserve"> A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c L =</t>
    </r>
  </si>
  <si>
    <t>posizione c/2.</t>
  </si>
  <si>
    <t>●  pressione (uniforme) nel volume di controllo:</t>
  </si>
  <si>
    <r>
      <t xml:space="preserve">          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 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</si>
  <si>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1a</t>
    </r>
    <r>
      <rPr>
        <sz val="10"/>
        <rFont val="Times New Roman"/>
        <family val="1"/>
      </rPr>
      <t>:</t>
    </r>
  </si>
  <si>
    <r>
      <t xml:space="preserve">       A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2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R L =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</si>
  <si>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1a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1a</t>
    </r>
    <r>
      <rPr>
        <sz val="10"/>
        <rFont val="Times New Roman"/>
        <family val="1"/>
      </rPr>
      <t>: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</si>
  <si>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1a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</si>
  <si>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t>questa spinta è inclinata di 45°, è "uscente" rispetto alla superficie piana</t>
  </si>
  <si>
    <r>
      <t xml:space="preserve">●  area premuta dal fluido </t>
    </r>
    <r>
      <rPr>
        <sz val="10"/>
        <rFont val="Symbol"/>
        <family val="1"/>
      </rPr>
      <t>g</t>
    </r>
    <r>
      <rPr>
        <sz val="6"/>
        <rFont val="Symbol"/>
        <family val="1"/>
      </rPr>
      <t>2</t>
    </r>
    <r>
      <rPr>
        <sz val="10"/>
        <rFont val="Times New Roman"/>
        <family val="1"/>
      </rPr>
      <t>:</t>
    </r>
  </si>
  <si>
    <r>
      <t>●  modulo S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</si>
  <si>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>modulo S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</si>
  <si>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calcolo del momento d'inerzia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rispetto ad un asse </t>
    </r>
  </si>
  <si>
    <r>
      <t>modulo S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</si>
  <si>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>calcolo del momento statico M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pressione":</t>
    </r>
  </si>
  <si>
    <r>
      <t xml:space="preserve">calcolo del momento d'inerzia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pressione" </t>
    </r>
  </si>
  <si>
    <r>
      <t xml:space="preserve">calcolo di </t>
    </r>
    <r>
      <rPr>
        <sz val="10"/>
        <rFont val="Symbol"/>
        <family val="1"/>
      </rPr>
      <t>x</t>
    </r>
    <r>
      <rPr>
        <vertAlign val="superscript"/>
        <sz val="10"/>
        <rFont val="Symbol"/>
        <family val="1"/>
      </rPr>
      <t>+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</si>
  <si>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calcolo del momento d'inerzia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depressione" </t>
    </r>
  </si>
  <si>
    <r>
      <t xml:space="preserve">calcolo di </t>
    </r>
    <r>
      <rPr>
        <sz val="10"/>
        <rFont val="Symbol"/>
        <family val="1"/>
      </rPr>
      <t>x</t>
    </r>
    <r>
      <rPr>
        <vertAlign val="superscript"/>
        <sz val="10"/>
        <rFont val="Symbol"/>
        <family val="1"/>
      </rPr>
      <t>-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</si>
  <si>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modulo S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:</t>
    </r>
  </si>
  <si>
    <t>calcolo del momento statico M della superficie premuta:</t>
  </si>
  <si>
    <t xml:space="preserve">calcolo del momento d'inerzia della superficie premuta rispetto ad un asse </t>
  </si>
  <si>
    <r>
      <t>S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</si>
  <si>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rispetto al PCI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stesso:</t>
    </r>
  </si>
  <si>
    <r>
      <t xml:space="preserve">   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rispetto al PCI del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stesso:</t>
    </r>
  </si>
  <si>
    <r>
      <t>x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</t>
    </r>
  </si>
  <si>
    <r>
      <t>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</si>
  <si>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I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 1/12 L (b-c)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</si>
  <si>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02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>/M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</si>
  <si>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Le formule implicite possono essere risolte per tentativi oppure operando con una funzione di calcolo della calatrice o del PC.</t>
  </si>
  <si>
    <t xml:space="preserve">                   (usando Blasius)</t>
  </si>
  <si>
    <r>
      <t xml:space="preserve">Equazione del moto per una corrente che "va" dal serbatoio di monte a quello di valle;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J </t>
    </r>
  </si>
  <si>
    <r>
      <t xml:space="preserve">(oppure,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 xml:space="preserve"> l</t>
    </r>
    <r>
      <rPr>
        <sz val="10"/>
        <rFont val="Times New Roman"/>
        <family val="1"/>
      </rPr>
      <t>: è la stessa cosa).</t>
    </r>
  </si>
  <si>
    <r>
      <t xml:space="preserve">In casi come questi, non è possibile calcolare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in quanto la portata è incognita e non v'è modo di conoscere</t>
    </r>
  </si>
  <si>
    <r>
      <t xml:space="preserve">la cadente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(cosa che ricondurrebbe al metodo esaminato nell'esercizio 45).</t>
    </r>
  </si>
  <si>
    <r>
      <t xml:space="preserve">il metodo </t>
    </r>
    <r>
      <rPr>
        <i/>
        <sz val="10"/>
        <rFont val="Times New Roman"/>
        <family val="1"/>
      </rPr>
      <t>delle componenti</t>
    </r>
    <r>
      <rPr>
        <sz val="10"/>
        <rFont val="Times New Roman"/>
        <family val="1"/>
      </rPr>
      <t xml:space="preserve">. </t>
    </r>
  </si>
  <si>
    <r>
      <t xml:space="preserve">  S = G +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*[D/H*h]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/4+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*1/3*h*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*[D/H*h]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/4  </t>
    </r>
  </si>
  <si>
    <r>
      <t>p</t>
    </r>
    <r>
      <rPr>
        <sz val="6"/>
        <rFont val="Times New Roman"/>
        <family val="1"/>
      </rPr>
      <t>B-B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</si>
  <si>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A-A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</si>
  <si>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B-B</t>
    </r>
    <r>
      <rPr>
        <sz val="10"/>
        <rFont val="Times New Roman"/>
        <family val="1"/>
      </rPr>
      <t xml:space="preserve"> =</t>
    </r>
  </si>
  <si>
    <t>La piccola perdita di energia subita dalla corrente nel transito tra il serbatoio di monte e la sezione contratta vale:</t>
  </si>
  <si>
    <r>
      <t xml:space="preserve">             0,1*V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</si>
  <si>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La velocità e l'altezza cinetica alla sezione contratta valgono:</t>
  </si>
  <si>
    <r>
      <t>V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Q/(Cc*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 =</t>
    </r>
  </si>
  <si>
    <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</si>
  <si>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Da cui:</t>
  </si>
  <si>
    <r>
      <t>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 {Z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[Z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+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/(2*g)+0,1*V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/(2*g)]} =</t>
    </r>
  </si>
  <si>
    <r>
      <t>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</si>
  <si>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&gt;      -p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</si>
  <si>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Se |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 xml:space="preserve">g </t>
    </r>
    <r>
      <rPr>
        <sz val="10"/>
        <rFont val="Times New Roman"/>
        <family val="1"/>
      </rPr>
      <t>|</t>
    </r>
    <r>
      <rPr>
        <i/>
        <sz val="10"/>
        <rFont val="Times New Roman"/>
        <family val="1"/>
      </rPr>
      <t xml:space="preserve"> &gt; </t>
    </r>
    <r>
      <rPr>
        <sz val="10"/>
        <rFont val="Times New Roman"/>
        <family val="1"/>
      </rPr>
      <t>| -p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/</t>
    </r>
    <r>
      <rPr>
        <sz val="10"/>
        <rFont val="Symbol"/>
        <family val="1"/>
      </rPr>
      <t xml:space="preserve">g </t>
    </r>
    <r>
      <rPr>
        <sz val="10"/>
        <rFont val="Times New Roman"/>
        <family val="1"/>
      </rPr>
      <t>| (con pa</t>
    </r>
    <r>
      <rPr>
        <vertAlign val="superscript"/>
        <sz val="10"/>
        <rFont val="Times New Roman"/>
        <family val="1"/>
      </rPr>
      <t>*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101325 Pa), c'è un'impossibilità "fisica" al transito di una corrente con pressioni  </t>
    </r>
  </si>
  <si>
    <r>
      <t xml:space="preserve">relative negative minori dello zero assoluto. In questi casi, la sezione contratta diventa una </t>
    </r>
    <r>
      <rPr>
        <b/>
        <sz val="10"/>
        <rFont val="Times New Roman"/>
        <family val="1"/>
      </rPr>
      <t>sezione di controllo</t>
    </r>
    <r>
      <rPr>
        <sz val="10"/>
        <rFont val="Times New Roman"/>
        <family val="1"/>
      </rPr>
      <t xml:space="preserve">, nel </t>
    </r>
  </si>
  <si>
    <r>
      <t>M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</si>
  <si>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</si>
  <si>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 xml:space="preserve">Spinta su superficie piana </t>
    </r>
    <r>
      <rPr>
        <b/>
        <u val="single"/>
        <sz val="10"/>
        <rFont val="Symbol"/>
        <family val="1"/>
      </rPr>
      <t>P</t>
    </r>
    <r>
      <rPr>
        <b/>
        <u val="single"/>
        <sz val="6"/>
        <rFont val="Times New Roman"/>
        <family val="1"/>
      </rPr>
      <t>4</t>
    </r>
  </si>
  <si>
    <r>
      <t>Z</t>
    </r>
    <r>
      <rPr>
        <sz val="6"/>
        <rFont val="Times New Roman"/>
        <family val="1"/>
      </rPr>
      <t>B4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>-h*sen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</si>
  <si>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r>
      <t>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-m(</t>
    </r>
    <r>
      <rPr>
        <sz val="10"/>
        <rFont val="Symbol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B4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</si>
  <si>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</si>
  <si>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"caso di pressione", si trova più in basso del baricentro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4</t>
    </r>
    <r>
      <rPr>
        <i/>
        <sz val="6"/>
        <rFont val="Times New Roman"/>
        <family val="1"/>
      </rPr>
      <t>.</t>
    </r>
  </si>
  <si>
    <r>
      <t>Flusso della quantità di moto -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4</t>
    </r>
  </si>
  <si>
    <r>
      <t>M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</si>
  <si>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4</t>
    </r>
    <r>
      <rPr>
        <sz val="10"/>
        <rFont val="Times New Roman"/>
        <family val="1"/>
      </rPr>
      <t>.</t>
    </r>
  </si>
  <si>
    <r>
      <t xml:space="preserve">        S</t>
    </r>
    <r>
      <rPr>
        <sz val="7"/>
        <rFont val="Symbol"/>
        <family val="1"/>
      </rPr>
      <t>x</t>
    </r>
    <r>
      <rPr>
        <sz val="10"/>
        <rFont val="Times New Roman"/>
        <family val="1"/>
      </rPr>
      <t xml:space="preserve"> = M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P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P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-M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+G*sin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</si>
  <si>
    <r>
      <t xml:space="preserve">Dal segno negativo si deduce che </t>
    </r>
    <r>
      <rPr>
        <i/>
        <sz val="10"/>
        <rFont val="Times New Roman"/>
        <family val="1"/>
      </rPr>
      <t>S</t>
    </r>
    <r>
      <rPr>
        <i/>
        <sz val="6"/>
        <rFont val="Symbol"/>
        <family val="1"/>
      </rPr>
      <t>x</t>
    </r>
    <r>
      <rPr>
        <sz val="10"/>
        <rFont val="Times New Roman"/>
        <family val="1"/>
      </rPr>
      <t xml:space="preserve"> ha verso discorde con quello dell'asse </t>
    </r>
    <r>
      <rPr>
        <i/>
        <sz val="10"/>
        <rFont val="Symbol"/>
        <family val="1"/>
      </rPr>
      <t>x</t>
    </r>
    <r>
      <rPr>
        <i/>
        <sz val="10"/>
        <rFont val="Times New Roman"/>
        <family val="1"/>
      </rPr>
      <t xml:space="preserve">. </t>
    </r>
  </si>
  <si>
    <r>
      <t>S</t>
    </r>
    <r>
      <rPr>
        <sz val="7"/>
        <rFont val="Times New Roman"/>
        <family val="1"/>
      </rPr>
      <t>n</t>
    </r>
    <r>
      <rPr>
        <sz val="10"/>
        <rFont val="Times New Roman"/>
        <family val="1"/>
      </rPr>
      <t xml:space="preserve"> = - G*cos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</si>
  <si>
    <r>
      <t>S = [S</t>
    </r>
    <r>
      <rPr>
        <sz val="6"/>
        <rFont val="Times New Roman"/>
        <family val="1"/>
      </rPr>
      <t>t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n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</si>
  <si>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t>Esercizio 57</t>
  </si>
  <si>
    <r>
      <t>Determinare</t>
    </r>
    <r>
      <rPr>
        <sz val="10"/>
        <rFont val="Times New Roman"/>
        <family val="1"/>
      </rPr>
      <t xml:space="preserve"> la portata transitante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assorbita dalla pompa e le componenti della spinta sul tronco di tubazione</t>
    </r>
  </si>
  <si>
    <r>
      <t xml:space="preserve">compreso tra la flangia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 e l’ugello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LP.</t>
    </r>
    <r>
      <rPr>
        <sz val="10"/>
        <rFont val="Times New Roman"/>
        <family val="1"/>
      </rPr>
      <t>.</t>
    </r>
  </si>
  <si>
    <r>
      <t xml:space="preserve">Equazione del moto per una corrente che "va" dalla sezione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alla sezione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C</t>
    </r>
    <r>
      <rPr>
        <sz val="6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>.</t>
    </r>
  </si>
  <si>
    <r>
      <t xml:space="preserve">Dove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0 Pa, </t>
    </r>
    <r>
      <rPr>
        <i/>
        <sz val="10"/>
        <rFont val="Times New Roman"/>
        <family val="1"/>
      </rPr>
      <t>V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Q/A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C</t>
    </r>
    <r>
      <rPr>
        <i/>
        <sz val="6"/>
        <rFont val="Times New Roman"/>
        <family val="1"/>
      </rPr>
      <t>C</t>
    </r>
    <r>
      <rPr>
        <i/>
        <sz val="10"/>
        <rFont val="Times New Roman"/>
        <family val="1"/>
      </rPr>
      <t>*A</t>
    </r>
    <r>
      <rPr>
        <i/>
        <sz val="6"/>
        <rFont val="Times New Roman"/>
        <family val="1"/>
      </rPr>
      <t>U</t>
    </r>
    <r>
      <rPr>
        <sz val="10"/>
        <rFont val="Times New Roman"/>
        <family val="1"/>
      </rPr>
      <t xml:space="preserve">. Inoltre </t>
    </r>
    <r>
      <rPr>
        <i/>
        <sz val="10"/>
        <rFont val="Times New Roman"/>
        <family val="1"/>
      </rPr>
      <t>V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 xml:space="preserve"> = V</t>
    </r>
    <r>
      <rPr>
        <i/>
        <sz val="6"/>
        <rFont val="Times New Roman"/>
        <family val="1"/>
      </rPr>
      <t>C</t>
    </r>
    <r>
      <rPr>
        <i/>
        <sz val="10"/>
        <rFont val="Times New Roman"/>
        <family val="1"/>
      </rPr>
      <t>*cos</t>
    </r>
    <r>
      <rPr>
        <i/>
        <sz val="10"/>
        <rFont val="Symbol"/>
        <family val="1"/>
      </rPr>
      <t>f</t>
    </r>
    <r>
      <rPr>
        <sz val="10"/>
        <rFont val="Times New Roman"/>
        <family val="1"/>
      </rPr>
      <t>. Ne consegue:</t>
    </r>
  </si>
  <si>
    <r>
      <t xml:space="preserve">           Q = 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*radq[2*g</t>
    </r>
    <r>
      <rPr>
        <sz val="10"/>
        <rFont val="Arial"/>
        <family val="0"/>
      </rPr>
      <t>(</t>
    </r>
    <r>
      <rPr>
        <sz val="10"/>
        <rFont val="Times New Roman"/>
        <family val="1"/>
      </rPr>
      <t>Z</t>
    </r>
    <r>
      <rPr>
        <sz val="6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Times New Roman"/>
        <family val="1"/>
      </rPr>
      <t>Z</t>
    </r>
    <r>
      <rPr>
        <sz val="6"/>
        <rFont val="Times New Roman"/>
        <family val="1"/>
      </rPr>
      <t>C</t>
    </r>
    <r>
      <rPr>
        <sz val="10"/>
        <rFont val="Arial"/>
        <family val="0"/>
      </rPr>
      <t>)</t>
    </r>
    <r>
      <rPr>
        <sz val="10"/>
        <rFont val="Times New Roman"/>
        <family val="1"/>
      </rPr>
      <t>]/sen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</si>
  <si>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spinta sulla superficie piana di traccia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e la posizione del corrispondente centro di spinta.</t>
    </r>
  </si>
  <si>
    <t>Esercizio 7</t>
  </si>
  <si>
    <r>
      <t>n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</si>
  <si>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Esercizio 6 (n</t>
    </r>
    <r>
      <rPr>
        <b/>
        <u val="single"/>
        <sz val="6"/>
        <rFont val="Times New Roman"/>
        <family val="1"/>
      </rPr>
      <t>1</t>
    </r>
    <r>
      <rPr>
        <b/>
        <u val="single"/>
        <sz val="12"/>
        <rFont val="Times New Roman"/>
        <family val="1"/>
      </rPr>
      <t>)</t>
    </r>
  </si>
  <si>
    <r>
      <t>Esercizio 6 (n</t>
    </r>
    <r>
      <rPr>
        <b/>
        <u val="single"/>
        <sz val="6"/>
        <rFont val="Times New Roman"/>
        <family val="1"/>
      </rPr>
      <t>2</t>
    </r>
    <r>
      <rPr>
        <b/>
        <u val="single"/>
        <sz val="12"/>
        <rFont val="Times New Roman"/>
        <family val="1"/>
      </rPr>
      <t>)</t>
    </r>
  </si>
  <si>
    <r>
      <t>n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</si>
  <si>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Derminare </t>
    </r>
    <r>
      <rPr>
        <sz val="10"/>
        <rFont val="Times New Roman"/>
        <family val="1"/>
      </rPr>
      <t xml:space="preserve">la portata circolante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il carico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V</t>
    </r>
    <r>
      <rPr>
        <sz val="10"/>
        <rFont val="Times New Roman"/>
        <family val="1"/>
      </rPr>
      <t xml:space="preserve"> del serbatoio di valle,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assorbita dalla pompa </t>
    </r>
  </si>
  <si>
    <r>
      <t xml:space="preserve">e la pressione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dell’aria (nel serbatoio di valle).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</t>
    </r>
    <r>
      <rPr>
        <sz val="10"/>
        <rFont val="Times New Roman"/>
        <family val="1"/>
      </rPr>
      <t xml:space="preserve">. e la </t>
    </r>
    <r>
      <rPr>
        <i/>
        <sz val="10"/>
        <rFont val="Times New Roman"/>
        <family val="1"/>
      </rPr>
      <t>L.P..</t>
    </r>
  </si>
  <si>
    <r>
      <t xml:space="preserve">Equazione del moto per una corrente che "va" dalla sezione </t>
    </r>
    <r>
      <rPr>
        <i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alla sezione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Z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A</t>
    </r>
    <r>
      <rPr>
        <i/>
        <sz val="10"/>
        <rFont val="Times New Roman"/>
        <family val="1"/>
      </rPr>
      <t>, 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B</t>
    </r>
    <r>
      <rPr>
        <i/>
        <sz val="10"/>
        <rFont val="Times New Roman"/>
        <family val="1"/>
      </rPr>
      <t xml:space="preserve"> .</t>
    </r>
  </si>
  <si>
    <r>
      <t>Z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B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B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</t>
    </r>
    <r>
      <rPr>
        <b/>
        <sz val="10"/>
        <rFont val="Symbol"/>
        <family val="1"/>
      </rPr>
      <t>x*a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B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</si>
  <si>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t>Equazione "tipica" del manometro differenziale accoppiata a quella del moto scritta sopra.</t>
  </si>
  <si>
    <r>
      <t xml:space="preserve">                        d</t>
    </r>
    <r>
      <rPr>
        <sz val="10"/>
        <rFont val="t"/>
        <family val="0"/>
      </rPr>
      <t xml:space="preserve"> = </t>
    </r>
    <r>
      <rPr>
        <sz val="10"/>
        <rFont val="Symbol"/>
        <family val="1"/>
      </rPr>
      <t>D</t>
    </r>
    <r>
      <rPr>
        <sz val="10"/>
        <rFont val="Arial"/>
        <family val="0"/>
      </rPr>
      <t>*(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</t>
    </r>
    <r>
      <rPr>
        <sz val="10"/>
        <rFont val="Times New Roman"/>
        <family val="1"/>
      </rPr>
      <t>[Z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]-[Z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 =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/(2*g)*[(1+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)/A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</si>
  <si>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 xml:space="preserve">               Q = radq{[2*g*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</t>
    </r>
    <r>
      <rPr>
        <sz val="10"/>
        <rFont val="Arial"/>
        <family val="0"/>
      </rPr>
      <t>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]/[(1+</t>
    </r>
    <r>
      <rPr>
        <sz val="10"/>
        <rFont val="Symbol"/>
        <family val="1"/>
      </rPr>
      <t>x</t>
    </r>
    <r>
      <rPr>
        <sz val="10"/>
        <rFont val="Arial"/>
        <family val="0"/>
      </rPr>
      <t>)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]} =</t>
    </r>
  </si>
  <si>
    <t>Determinazione del P.C.I. del serbatoio di valle</t>
  </si>
  <si>
    <t>Equazione dell'efflusso sotto una paratoia.</t>
  </si>
  <si>
    <r>
      <t xml:space="preserve">      Q =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*a*b*radq[2*g*(Hv-C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*a)]</t>
    </r>
  </si>
  <si>
    <t>Ne deriva:</t>
  </si>
  <si>
    <r>
      <t xml:space="preserve">                       H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 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*a+Q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/[(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*a*b)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*2*g] =</t>
    </r>
  </si>
  <si>
    <t>Determinazione della potenza assorbita dalla pompa</t>
  </si>
  <si>
    <r>
      <t>Equazione del moto per una corrente che "va" da un serbatoio all'altro; incognite</t>
    </r>
    <r>
      <rPr>
        <i/>
        <sz val="10"/>
        <rFont val="Times New Roman"/>
        <family val="1"/>
      </rPr>
      <t xml:space="preserve">: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.</t>
    </r>
  </si>
  <si>
    <r>
      <t xml:space="preserve">     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-0,5*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)-(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H</t>
    </r>
    <r>
      <rPr>
        <b/>
        <sz val="6"/>
        <rFont val="Times New Roman"/>
        <family val="1"/>
      </rPr>
      <t>P</t>
    </r>
    <r>
      <rPr>
        <b/>
        <sz val="10"/>
        <rFont val="Symbol"/>
        <family val="1"/>
      </rPr>
      <t>-x</t>
    </r>
    <r>
      <rPr>
        <b/>
        <sz val="10"/>
        <rFont val="Times New Roman"/>
        <family val="1"/>
      </rPr>
      <t>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)-</t>
    </r>
  </si>
  <si>
    <r>
      <t xml:space="preserve">                                          -(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 = H</t>
    </r>
    <r>
      <rPr>
        <b/>
        <sz val="6"/>
        <rFont val="Times New Roman"/>
        <family val="1"/>
      </rPr>
      <t>v</t>
    </r>
  </si>
  <si>
    <t>Quindi:</t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</si>
  <si>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=H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</t>
    </r>
  </si>
  <si>
    <r>
      <t>+a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)-Z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</t>
    </r>
  </si>
  <si>
    <r>
      <t xml:space="preserve">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</si>
  <si>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</si>
  <si>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</si>
  <si>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</si>
  <si>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</si>
  <si>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confine tra RTT e RAT</t>
  </si>
  <si>
    <r>
      <t>l</t>
    </r>
    <r>
      <rPr>
        <sz val="6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</si>
  <si>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 xml:space="preserve">     Colebrook-White = 0</t>
  </si>
  <si>
    <t xml:space="preserve"> Colebrook-White = 0</t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</si>
  <si>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</si>
  <si>
    <t>La potenza assorbita dalla pompa si calcola, da definizione, come</t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</si>
  <si>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 xml:space="preserve">g 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</si>
  <si>
    <r>
      <t xml:space="preserve">g 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 </t>
    </r>
  </si>
  <si>
    <r>
      <t>p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 xml:space="preserve">g 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</t>
    </r>
  </si>
  <si>
    <r>
      <t xml:space="preserve">La pressione nel baricentro </t>
    </r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del manometro metallico, che si trova alla profondià 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sotto il PCI, vale:</t>
    </r>
  </si>
  <si>
    <r>
      <t>p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[bar] = p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[Pa]/10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=     n [bar]    =</t>
    </r>
  </si>
  <si>
    <r>
      <t>Determinare</t>
    </r>
    <r>
      <rPr>
        <sz val="10"/>
        <rFont val="Times New Roman"/>
        <family val="1"/>
      </rPr>
      <t xml:space="preserve"> i dislivelli manometrici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</si>
  <si>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 xml:space="preserve">  d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</si>
  <si>
    <r>
      <t xml:space="preserve">                     d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m2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 </t>
    </r>
  </si>
  <si>
    <r>
      <t xml:space="preserve">valida quando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m1</t>
    </r>
    <r>
      <rPr>
        <sz val="10"/>
        <rFont val="Times New Roman"/>
        <family val="1"/>
      </rPr>
      <t xml:space="preserve">  &gt;  </t>
    </r>
    <r>
      <rPr>
        <sz val="10"/>
        <rFont val="Symbol"/>
        <family val="1"/>
      </rPr>
      <t>g</t>
    </r>
  </si>
  <si>
    <r>
      <t xml:space="preserve">valida quando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m2</t>
    </r>
    <r>
      <rPr>
        <sz val="10"/>
        <rFont val="Times New Roman"/>
        <family val="1"/>
      </rPr>
      <t xml:space="preserve">  &lt;  </t>
    </r>
    <r>
      <rPr>
        <sz val="10"/>
        <rFont val="Symbol"/>
        <family val="1"/>
      </rPr>
      <t>g</t>
    </r>
  </si>
  <si>
    <r>
      <t xml:space="preserve"> 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[(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</si>
  <si>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</si>
  <si>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Ora, la pressione sul fondo può essere determinata considerando l'affondamento del fondo (punto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>) rispetto al PCI di</t>
    </r>
  </si>
  <si>
    <r>
      <t xml:space="preserve">                           p</t>
    </r>
    <r>
      <rPr>
        <sz val="6"/>
        <rFont val="Times New Roman"/>
        <family val="1"/>
      </rPr>
      <t>F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F</t>
    </r>
    <r>
      <rPr>
        <sz val="10"/>
        <rFont val="Times New Roman"/>
        <family val="1"/>
      </rPr>
      <t xml:space="preserve"> =</t>
    </r>
  </si>
  <si>
    <r>
      <t xml:space="preserve">Piu speditamente si sarebbe potuta aggiungere alla pressione in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quella derivante dall'incremento di affondamento fino</t>
    </r>
  </si>
  <si>
    <r>
      <t>p</t>
    </r>
    <r>
      <rPr>
        <sz val="6"/>
        <rFont val="Times New Roman"/>
        <family val="1"/>
      </rPr>
      <t>F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(b-a) =</t>
    </r>
  </si>
  <si>
    <r>
      <t xml:space="preserve">           p</t>
    </r>
    <r>
      <rPr>
        <sz val="6"/>
        <rFont val="Times New Roman"/>
        <family val="1"/>
      </rPr>
      <t>Q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</si>
  <si>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1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h'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h''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</t>
    </r>
  </si>
  <si>
    <r>
      <t>h''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h'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</si>
  <si>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</si>
  <si>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t xml:space="preserve">misurata a partire dalla retta di sponda, lungo la linea di massima pendenza della </t>
  </si>
  <si>
    <t>superficie premuta.</t>
  </si>
  <si>
    <r>
      <t>NB</t>
    </r>
    <r>
      <rPr>
        <sz val="10"/>
        <rFont val="Times New Roman"/>
        <family val="1"/>
      </rPr>
      <t xml:space="preserve">: il momento d'inerzia è sempre una grandezza positiva e qualora siano  </t>
    </r>
  </si>
  <si>
    <t xml:space="preserve">chiamate in causa "altezze" con segno negativo, esse dovranno essere utilizzate </t>
  </si>
  <si>
    <t>ponendole in modulo (capita nei casi di depressione).</t>
  </si>
  <si>
    <t xml:space="preserve">Vettore normale alla parete, diretto verso il fluido e </t>
  </si>
  <si>
    <t xml:space="preserve">●  calcolo del momento d'inerzia della superficie premuta    </t>
  </si>
  <si>
    <t xml:space="preserve">     rispetto ad un asse baricentrale parallelo alla retta di</t>
  </si>
  <si>
    <t xml:space="preserve">     sponda:</t>
  </si>
  <si>
    <t>Il modulo della spinta su una superficie piana è dato dal prodotto della pressione nel baricentro della superficie premuta, per l'area della stessa</t>
  </si>
  <si>
    <t xml:space="preserve"> L'affondamento del baricentro della superficie premuta, la pressione in esso e le dimensioni dell'area sono di immediata determinazione poiché</t>
  </si>
  <si>
    <t>è nota la quota del PCI del fluido, la quale coincide con la superficie libera del recipiente.</t>
  </si>
  <si>
    <r>
      <t xml:space="preserve">rispetto al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stesso:</t>
    </r>
  </si>
  <si>
    <r>
      <t>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+ S</t>
    </r>
    <r>
      <rPr>
        <sz val="6"/>
        <rFont val="Symbol"/>
        <family val="1"/>
      </rPr>
      <t>g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b</t>
    </r>
    <r>
      <rPr>
        <vertAlign val="superscript"/>
        <sz val="10"/>
        <rFont val="Times New Roman"/>
        <family val="1"/>
      </rPr>
      <t>Q</t>
    </r>
    <r>
      <rPr>
        <vertAlign val="subscript"/>
        <sz val="10"/>
        <rFont val="Symbol"/>
        <family val="1"/>
      </rPr>
      <t>g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</si>
  <si>
    <t>Dunque, la determinazione della posizione della retta d'azione del risultante rispetto al fondo del recipiente dà il seguente esito:</t>
  </si>
  <si>
    <r>
      <t xml:space="preserve">   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-d+h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</si>
  <si>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</si>
  <si>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 xml:space="preserve">   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color indexed="10"/>
        <rFont val="Times New Roman"/>
        <family val="1"/>
      </rPr>
      <t>-</t>
    </r>
    <r>
      <rPr>
        <sz val="10"/>
        <rFont val="Times New Roman"/>
        <family val="1"/>
      </rPr>
      <t>[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A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+d-h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] =</t>
    </r>
  </si>
  <si>
    <r>
      <t xml:space="preserve">        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</si>
  <si>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t xml:space="preserve">L'equilibrio statico del volume individuato è rispettato se la somma delle forze di massa e di superficie ad esso applicate è nulla. </t>
  </si>
  <si>
    <t>L'equazione che lo impone è la seguente:</t>
  </si>
  <si>
    <t>nella quale è noto che:</t>
  </si>
  <si>
    <t>"in pressione".</t>
  </si>
  <si>
    <r>
      <t>Determinare</t>
    </r>
    <r>
      <rPr>
        <sz val="10"/>
        <rFont val="Times New Roman"/>
        <family val="1"/>
      </rPr>
      <t xml:space="preserve"> il modulo F della forza orizzontale </t>
    </r>
    <r>
      <rPr>
        <b/>
        <sz val="10"/>
        <rFont val="Times New Roman"/>
        <family val="1"/>
      </rPr>
      <t xml:space="preserve">F </t>
    </r>
    <r>
      <rPr>
        <sz val="10"/>
        <rFont val="Times New Roman"/>
        <family val="1"/>
      </rPr>
      <t xml:space="preserve">necessaria a garantire l'equilibrio. </t>
    </r>
  </si>
  <si>
    <r>
      <t xml:space="preserve">           h</t>
    </r>
    <r>
      <rPr>
        <sz val="6"/>
        <rFont val="Times New Roman"/>
        <family val="1"/>
      </rPr>
      <t>PCI 2</t>
    </r>
    <r>
      <rPr>
        <sz val="10"/>
        <rFont val="Times New Roman"/>
        <family val="1"/>
      </rPr>
      <t xml:space="preserve"> = n[Pa]/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</si>
  <si>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h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PCI 2</t>
    </r>
    <r>
      <rPr>
        <sz val="10"/>
        <rFont val="Times New Roman"/>
        <family val="1"/>
      </rPr>
      <t>+h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</si>
  <si>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p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=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</si>
  <si>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</si>
  <si>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</si>
  <si>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1 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</si>
  <si>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</si>
  <si>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</si>
  <si>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●  area premuta dal fluido </t>
    </r>
    <r>
      <rPr>
        <sz val="10"/>
        <rFont val="Symbol"/>
        <family val="1"/>
      </rPr>
      <t>g</t>
    </r>
    <r>
      <rPr>
        <sz val="6"/>
        <rFont val="Symbol"/>
        <family val="1"/>
      </rPr>
      <t>1</t>
    </r>
    <r>
      <rPr>
        <sz val="10"/>
        <rFont val="Times New Roman"/>
        <family val="1"/>
      </rPr>
      <t>:</t>
    </r>
  </si>
  <si>
    <r>
      <t xml:space="preserve">   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</si>
  <si>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questa spinta è orizzontale con verso opposto all'asse x, ed</t>
  </si>
  <si>
    <r>
      <t xml:space="preserve">(naturalmente il verso è opposto a quello di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).</t>
    </r>
  </si>
  <si>
    <t>L'equazione di equilibrio statico applicata a questo volume di controllo risulta:</t>
  </si>
  <si>
    <r>
      <t>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S = 0</t>
    </r>
  </si>
  <si>
    <t>che proiettata sugli assi coordinati diventa:</t>
  </si>
  <si>
    <r>
      <t>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</si>
  <si>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B2.1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</si>
  <si>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h</t>
    </r>
    <r>
      <rPr>
        <sz val="6"/>
        <rFont val="Times New Roman"/>
        <family val="1"/>
      </rPr>
      <t>B2.1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</si>
  <si>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A questo punto è immediato calcolare 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sulla superficie piana del pistone di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quindi il modulo della forza orizzontale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>.</t>
    </r>
  </si>
  <si>
    <r>
      <t xml:space="preserve">           p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B2.2</t>
    </r>
    <r>
      <rPr>
        <sz val="10"/>
        <rFont val="Times New Roman"/>
        <family val="1"/>
      </rPr>
      <t xml:space="preserve"> =</t>
    </r>
  </si>
  <si>
    <r>
      <t xml:space="preserve">             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B2.1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</si>
  <si>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1</t>
    </r>
    <r>
      <rPr>
        <sz val="10"/>
        <rFont val="Times New Roman"/>
        <family val="1"/>
      </rPr>
      <t>:</t>
    </r>
  </si>
  <si>
    <r>
      <t xml:space="preserve">  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</si>
  <si>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</si>
  <si>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Anzitutto occorre individuare lungo la linea di massima pendenza, partendo sempre dalla retta di sponda, la coordinata 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del baricentro</t>
    </r>
  </si>
  <si>
    <r>
      <t>G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 della superficie premuta. Per superfici verticali si ha che la massima pendenza coincide con la direzione verticale e quindi:</t>
    </r>
  </si>
  <si>
    <r>
      <t>calcolo della coordinata 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 della parete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,  </t>
    </r>
  </si>
  <si>
    <r>
      <t>calcolo del momento statico M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(in queste</t>
    </r>
  </si>
  <si>
    <t xml:space="preserve"> dispense si "sorvola" sul suo significato fisico):</t>
  </si>
  <si>
    <r>
      <t>M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</t>
    </r>
  </si>
  <si>
    <r>
      <t>NB</t>
    </r>
    <r>
      <rPr>
        <sz val="10"/>
        <rFont val="Times New Roman"/>
        <family val="1"/>
      </rPr>
      <t>: il momento statico è una grandezza dotata di segno; essa, nei casi di</t>
    </r>
  </si>
  <si>
    <t>depressione assume valore negativo.</t>
  </si>
  <si>
    <r>
      <t xml:space="preserve">         I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= (1/12)L h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</si>
  <si>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calcolo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0 RR</t>
    </r>
    <r>
      <rPr>
        <sz val="10"/>
        <rFont val="Times New Roman"/>
        <family val="1"/>
      </rPr>
      <t>:</t>
    </r>
  </si>
  <si>
    <r>
      <t xml:space="preserve">la linea di massima pendenza, tra il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 della superficie premuta e il </t>
    </r>
  </si>
  <si>
    <r>
      <t>Il serbatoio è in pressione (n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&gt; 0) dunque, anzitutto bisogna  individuare la posizione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 Nota questa sarà possibile calcolare  la</t>
    </r>
  </si>
  <si>
    <r>
      <t xml:space="preserve">La spinta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esercitata dal liquido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e quella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esercitata dal gas saranno orizzontali ed equiverse, ovvero entrambe dirette dal recipiente verso</t>
    </r>
  </si>
  <si>
    <r>
      <t xml:space="preserve">la parete di traccia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. Dunque la loro azione corrisponderà a quella di un risultante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avente medesima direzione e medesimo verso, ma</t>
    </r>
  </si>
  <si>
    <t>retta d'azione da determinarsi.</t>
  </si>
  <si>
    <r>
      <t xml:space="preserve">pressione in ogni punto del sistema occupato dal liquido, ed in particolare nel baricentro </t>
    </r>
    <r>
      <rPr>
        <b/>
        <sz val="10"/>
        <rFont val="Times New Roman"/>
        <family val="1"/>
      </rPr>
      <t>G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parte di superficie da esso lambita.</t>
    </r>
  </si>
  <si>
    <t>Sulla parte occupata da gas, invece, sarà proprio quest'ultimo ad esercitare la spinta.</t>
  </si>
  <si>
    <r>
      <t xml:space="preserve">Quindi, dall'equazione di equilibrio globale applicata ad un volume di controllo costituito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ed avente le stesse caratteristiche di forma della</t>
    </r>
  </si>
  <si>
    <r>
      <t>parte di "pallottola" immersa, si può ricavare l'affondamento del baricentro B</t>
    </r>
    <r>
      <rPr>
        <sz val="6"/>
        <rFont val="Times New Roman"/>
        <family val="1"/>
      </rPr>
      <t>2.1</t>
    </r>
    <r>
      <rPr>
        <sz val="10"/>
        <rFont val="Times New Roman"/>
        <family val="1"/>
      </rPr>
      <t xml:space="preserve"> della superficie piana di chiusura, ovvero la quota del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</si>
  <si>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 xml:space="preserve">rispetto alla direzione di scorrimento. </t>
  </si>
  <si>
    <r>
      <t xml:space="preserve">Nota questa posizione è facile calcolare 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 pistone di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quindi il modulo F della forza orizzontale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che la bilancia.</t>
    </r>
  </si>
  <si>
    <r>
      <t xml:space="preserve">Il calcolo, come detto, parte dall'individuazione della posizione del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rispetto al baricentro del manometro.</t>
    </r>
  </si>
  <si>
    <r>
      <t xml:space="preserve">A partire da questa informazione è semplice individuare il modulo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</si>
  <si>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operando le solite "mosse".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</si>
  <si>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2.2</t>
    </r>
    <r>
      <rPr>
        <sz val="10"/>
        <rFont val="Times New Roman"/>
        <family val="1"/>
      </rPr>
      <t xml:space="preserve"> della parete piana della "pallottola"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</si>
  <si>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 xml:space="preserve">●  pressione nel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2.2</t>
    </r>
    <r>
      <rPr>
        <sz val="10"/>
        <rFont val="Times New Roman"/>
        <family val="1"/>
      </rPr>
      <t>:</t>
    </r>
  </si>
  <si>
    <t xml:space="preserve">questa spinta è orizzontale con verso opposto </t>
  </si>
  <si>
    <t xml:space="preserve">all'asse x, ed è applicata nel centro di spinta, </t>
  </si>
  <si>
    <r>
      <t xml:space="preserve">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2.2</t>
    </r>
    <r>
      <rPr>
        <sz val="10"/>
        <rFont val="Times New Roman"/>
        <family val="1"/>
      </rPr>
      <t>, ma più in basso.</t>
    </r>
  </si>
  <si>
    <r>
      <t xml:space="preserve">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è orizzontale e per l'equilibrio alla traslazione orizzontale della "pallottola" sarà equilibrata dalla componente 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</si>
  <si>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che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esercita sulla superficie di "pallottola" che lambisce. Dunque:</t>
    </r>
  </si>
  <si>
    <r>
      <t xml:space="preserve">Si consideri ora il un volume di controllo costituito dal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, avente la forma e le dimensioni della parte immersa della "pallottola". Su di </t>
    </r>
  </si>
  <si>
    <r>
      <t xml:space="preserve">esso agirà una forza di massa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corrispondente al peso del volume stesso, una spinta orizzontale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sulla superficie piana verticale di </t>
    </r>
  </si>
  <si>
    <r>
      <t>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ed una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sulla superficie curva, la cui componente 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è già stata calcolata. </t>
    </r>
  </si>
  <si>
    <r>
      <t xml:space="preserve">Ora, poiché l'obiettivo è quello di risalire alla posizione del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, il fatto che l'equazione sulla verticale non possa essere risolta non </t>
    </r>
  </si>
  <si>
    <t>costituisce un problema. Infatti, dalla prima equazione scalare si ha:</t>
  </si>
  <si>
    <t xml:space="preserve">(questa spinta è orizzontale con verso opposto all'asse x ed è applicata </t>
  </si>
  <si>
    <r>
      <t>nel centro didi spinta, sulla verticale condotta per B</t>
    </r>
    <r>
      <rPr>
        <sz val="6"/>
        <rFont val="Times New Roman"/>
        <family val="1"/>
      </rPr>
      <t>2.1</t>
    </r>
    <r>
      <rPr>
        <sz val="10"/>
        <rFont val="Times New Roman"/>
        <family val="1"/>
      </rPr>
      <t>, ma più in basso);</t>
    </r>
  </si>
  <si>
    <r>
      <t>●  affondamento del baricentro</t>
    </r>
    <r>
      <rPr>
        <b/>
        <sz val="10"/>
        <rFont val="Times New Roman"/>
        <family val="1"/>
      </rPr>
      <t xml:space="preserve"> 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parete piana del pistone </t>
    </r>
  </si>
  <si>
    <r>
      <t xml:space="preserve">    lambita da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</si>
  <si>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t xml:space="preserve">che è la quota del PCI rispetto alla direzione orizzontale di scorrimento del pistone e </t>
  </si>
  <si>
    <t>della "pallottola".</t>
  </si>
  <si>
    <t>Si tratta di un problema definibile come "indiretto". Spesso, negli esercizi viene chiesto di calcolare una spinta su una superficie piana o curva</t>
  </si>
  <si>
    <t xml:space="preserve">partendo dalla individuazione del PCI dei fluidi prementi che, di solito, è immediatamente individuabile a partire dall'indicazione di uno </t>
  </si>
  <si>
    <t xml:space="preserve">strumento di misura (un manometro metallico, un piezometro, un manometro semplice, etc.). In questi casi, individuata la posizione del PCI </t>
  </si>
  <si>
    <t>diventa semplice calcolare gli affondamenti di ogni punto del sistema e quindi arrivare abbastanza agevolmente al calcolo delle spinte.</t>
  </si>
  <si>
    <t xml:space="preserve">In questo esercizio, però quell'informazione che ci consentirebbe di "entrare" nel sistema, cioè l'indicazione di uno strumento misuratore, è </t>
  </si>
  <si>
    <r>
      <t xml:space="preserve">proprio la grandezza incognita. Il problema è per questo motivo "indiretto", poiché per conoscere l'indicazione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del manometro bisognerà </t>
    </r>
  </si>
  <si>
    <r>
      <t>individuare per altra strada la quota del PCI. Questa altra strada è lo studio dell'e</t>
    </r>
    <r>
      <rPr>
        <i/>
        <sz val="10"/>
        <rFont val="Times New Roman"/>
        <family val="1"/>
      </rPr>
      <t>quilibrio meccanico</t>
    </r>
    <r>
      <rPr>
        <sz val="10"/>
        <rFont val="Times New Roman"/>
        <family val="1"/>
      </rPr>
      <t xml:space="preserve"> dell'oggetto </t>
    </r>
    <r>
      <rPr>
        <i/>
        <sz val="10"/>
        <rFont val="Times New Roman"/>
        <family val="1"/>
      </rPr>
      <t>solido</t>
    </r>
    <r>
      <rPr>
        <sz val="10"/>
        <rFont val="Times New Roman"/>
        <family val="1"/>
      </rPr>
      <t xml:space="preserve"> (tappo) che si trova</t>
    </r>
  </si>
  <si>
    <t xml:space="preserve">a sigillare l'apertura sulla sommità del recipiente in  condizioni molto particolari. Esso, infatti, tocca i bordi solidi del recipiente ma non scarica </t>
  </si>
  <si>
    <t xml:space="preserve">su di essi nemmeno una frazione infinitesima del suo peso che è invece sostenuto interamente dal fluido che lo lambisce. In pratica, nella </t>
  </si>
  <si>
    <t>configurazione del disegno il tappo sfiora i bordi solidi del recipiente quel tanto che basta per chiudere qualsiasi via di fuga per il fluido, ma tra</t>
  </si>
  <si>
    <t xml:space="preserve">tappo e bordi solidi del recipiente non c'è né azione (del primo sui secondi) né, ovviamente, reazione (dei secondi sul primo). </t>
  </si>
  <si>
    <r>
      <t xml:space="preserve">Dunque il peso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del tappo è sorretto dalla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del fluido che lo lambisce e piochè il peso è chiaramente un vettore verticale che "punta" </t>
    </r>
  </si>
  <si>
    <r>
      <t xml:space="preserve">     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+0,5*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'+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(V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''+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</si>
  <si>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A questo punto, la potenza assorbita dalla pompa viene calcolata secondo la definizione.</t>
  </si>
  <si>
    <r>
      <t xml:space="preserve">    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</si>
  <si>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>Determinazione delle portate Q</t>
    </r>
    <r>
      <rPr>
        <i/>
        <u val="single"/>
        <sz val="6"/>
        <rFont val="Times New Roman"/>
        <family val="1"/>
      </rPr>
      <t>b</t>
    </r>
    <r>
      <rPr>
        <i/>
        <u val="single"/>
        <sz val="10"/>
        <rFont val="Times New Roman"/>
        <family val="1"/>
      </rPr>
      <t xml:space="preserve"> e Q</t>
    </r>
    <r>
      <rPr>
        <i/>
        <u val="single"/>
        <sz val="6"/>
        <rFont val="Times New Roman"/>
        <family val="1"/>
      </rPr>
      <t>c</t>
    </r>
  </si>
  <si>
    <r>
      <t xml:space="preserve">             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 Azione 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)-P(D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)*sen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=</t>
    </r>
  </si>
  <si>
    <r>
      <t xml:space="preserve">           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+ G*sen</t>
    </r>
    <r>
      <rPr>
        <sz val="10"/>
        <rFont val="Symbol"/>
        <family val="1"/>
      </rPr>
      <t xml:space="preserve">a </t>
    </r>
    <r>
      <rPr>
        <sz val="10"/>
        <rFont val="Times New Roman"/>
        <family val="1"/>
      </rPr>
      <t>=</t>
    </r>
  </si>
  <si>
    <r>
      <t>P</t>
    </r>
    <r>
      <rPr>
        <sz val="6"/>
        <rFont val="Times New Roman"/>
        <family val="1"/>
      </rPr>
      <t>1 calotta</t>
    </r>
    <r>
      <rPr>
        <sz val="10"/>
        <rFont val="Times New Roman"/>
        <family val="1"/>
      </rPr>
      <t xml:space="preserve"> = G</t>
    </r>
    <r>
      <rPr>
        <sz val="6"/>
        <rFont val="Times New Roman"/>
        <family val="1"/>
      </rPr>
      <t>calotta</t>
    </r>
    <r>
      <rPr>
        <sz val="10"/>
        <rFont val="Times New Roman"/>
        <family val="1"/>
      </rPr>
      <t>*sen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+ 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</si>
  <si>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dove si nota che    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B2 calotta</t>
    </r>
    <r>
      <rPr>
        <sz val="10"/>
        <rFont val="Times New Roman"/>
        <family val="1"/>
      </rPr>
      <t xml:space="preserve"> +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*sen</t>
    </r>
    <r>
      <rPr>
        <sz val="10"/>
        <rFont val="Symbol"/>
        <family val="1"/>
      </rPr>
      <t>a</t>
    </r>
    <r>
      <rPr>
        <i/>
        <sz val="10"/>
        <rFont val="Times New Roman"/>
        <family val="1"/>
      </rPr>
      <t xml:space="preserve">, infatti     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*sen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=</t>
    </r>
  </si>
  <si>
    <r>
      <t>W pistone 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</si>
  <si>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 xml:space="preserve">            F = 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- G(D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)*sen</t>
    </r>
    <r>
      <rPr>
        <sz val="10"/>
        <rFont val="Symbol"/>
        <family val="1"/>
      </rPr>
      <t xml:space="preserve">a </t>
    </r>
    <r>
      <rPr>
        <sz val="10"/>
        <rFont val="Times New Roman"/>
        <family val="1"/>
      </rPr>
      <t>=</t>
    </r>
  </si>
  <si>
    <t>Esercizio 25</t>
  </si>
  <si>
    <t>Esercizio 27</t>
  </si>
  <si>
    <r>
      <t>W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</si>
  <si>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>P</t>
    </r>
    <r>
      <rPr>
        <sz val="10"/>
        <rFont val="Times New Roman"/>
        <family val="1"/>
      </rPr>
      <t xml:space="preserve"> =</t>
    </r>
  </si>
  <si>
    <r>
      <t>S = 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</t>
    </r>
  </si>
  <si>
    <r>
      <t>S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</t>
    </r>
  </si>
  <si>
    <r>
      <t xml:space="preserve">                            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S - G =</t>
    </r>
  </si>
  <si>
    <r>
      <t>g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</si>
  <si>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 xml:space="preserve">S =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</t>
    </r>
  </si>
  <si>
    <t>cubica di 'h' da risolversi, ad esempio, per tentativi</t>
  </si>
  <si>
    <t>Esercizio 28</t>
  </si>
  <si>
    <r>
      <t>Determinare</t>
    </r>
    <r>
      <rPr>
        <sz val="10"/>
        <rFont val="Times New Roman"/>
        <family val="1"/>
      </rPr>
      <t xml:space="preserve"> l'affondamento 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 xml:space="preserve">. </t>
    </r>
  </si>
  <si>
    <t xml:space="preserve"> formula = 0</t>
  </si>
  <si>
    <t>(usando "Ricerca obiettivo")</t>
  </si>
  <si>
    <t>Esercizio 29</t>
  </si>
  <si>
    <r>
      <t xml:space="preserve">Peso </t>
    </r>
    <r>
      <rPr>
        <b/>
        <sz val="6"/>
        <rFont val="Times New Roman"/>
        <family val="1"/>
      </rPr>
      <t>del solido</t>
    </r>
    <r>
      <rPr>
        <b/>
        <sz val="10"/>
        <rFont val="Times New Roman"/>
        <family val="1"/>
      </rPr>
      <t xml:space="preserve"> + S = 0</t>
    </r>
  </si>
  <si>
    <r>
      <t xml:space="preserve">S = - Peso </t>
    </r>
    <r>
      <rPr>
        <b/>
        <sz val="6"/>
        <rFont val="Times New Roman"/>
        <family val="1"/>
      </rPr>
      <t>del solido</t>
    </r>
  </si>
  <si>
    <r>
      <t>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</si>
  <si>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 xml:space="preserve">          Peso </t>
    </r>
    <r>
      <rPr>
        <sz val="6"/>
        <rFont val="Times New Roman"/>
        <family val="1"/>
      </rPr>
      <t>del solido</t>
    </r>
    <r>
      <rPr>
        <sz val="10"/>
        <rFont val="Times New Roman"/>
        <family val="1"/>
      </rPr>
      <t xml:space="preserve"> =</t>
    </r>
  </si>
  <si>
    <r>
      <t xml:space="preserve">                           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S - G =</t>
    </r>
  </si>
  <si>
    <t>Esercizio 30</t>
  </si>
  <si>
    <r>
      <t>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= 0</t>
    </r>
  </si>
  <si>
    <r>
      <t>p</t>
    </r>
    <r>
      <rPr>
        <sz val="6"/>
        <rFont val="Times New Roman"/>
        <family val="1"/>
      </rPr>
      <t>G1</t>
    </r>
    <r>
      <rPr>
        <sz val="10"/>
        <rFont val="Times New Roman"/>
        <family val="1"/>
      </rPr>
      <t xml:space="preserve"> =</t>
    </r>
  </si>
  <si>
    <r>
      <t xml:space="preserve">Peso </t>
    </r>
    <r>
      <rPr>
        <b/>
        <sz val="6"/>
        <rFont val="Times New Roman"/>
        <family val="1"/>
      </rPr>
      <t>del solido</t>
    </r>
    <r>
      <rPr>
        <b/>
        <sz val="10"/>
        <rFont val="Times New Roman"/>
        <family val="1"/>
      </rPr>
      <t xml:space="preserve"> = -S</t>
    </r>
  </si>
  <si>
    <r>
      <t>Determinare</t>
    </r>
    <r>
      <rPr>
        <sz val="10"/>
        <rFont val="Times New Roman"/>
        <family val="1"/>
      </rPr>
      <t xml:space="preserve"> l'indicazione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registrata dal manometro differenziale. </t>
    </r>
  </si>
  <si>
    <r>
      <t>Determinare</t>
    </r>
    <r>
      <rPr>
        <sz val="10"/>
        <rFont val="Times New Roman"/>
        <family val="1"/>
      </rPr>
      <t xml:space="preserve"> il peso specifico </t>
    </r>
    <r>
      <rPr>
        <i/>
        <sz val="10"/>
        <rFont val="Symbol"/>
        <family val="1"/>
      </rPr>
      <t>g</t>
    </r>
    <r>
      <rPr>
        <i/>
        <sz val="6"/>
        <rFont val="Times New Roman"/>
        <family val="1"/>
      </rPr>
      <t>S</t>
    </r>
    <r>
      <rPr>
        <sz val="10"/>
        <rFont val="Times New Roman"/>
        <family val="1"/>
      </rPr>
      <t xml:space="preserve"> del tappo cilindrico. </t>
    </r>
  </si>
  <si>
    <r>
      <t xml:space="preserve">        Peso </t>
    </r>
    <r>
      <rPr>
        <sz val="6"/>
        <rFont val="Times New Roman"/>
        <family val="1"/>
      </rPr>
      <t>del solido</t>
    </r>
    <r>
      <rPr>
        <sz val="10"/>
        <rFont val="Times New Roman"/>
        <family val="1"/>
      </rPr>
      <t xml:space="preserve"> =</t>
    </r>
  </si>
  <si>
    <r>
      <t>G</t>
    </r>
    <r>
      <rPr>
        <b/>
        <sz val="6"/>
        <rFont val="Times New Roman"/>
        <family val="1"/>
      </rPr>
      <t>a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1a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0a</t>
    </r>
    <r>
      <rPr>
        <b/>
        <sz val="10"/>
        <rFont val="Times New Roman"/>
        <family val="1"/>
      </rPr>
      <t xml:space="preserve"> = 0</t>
    </r>
  </si>
  <si>
    <r>
      <t>G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 xml:space="preserve"> = 0</t>
    </r>
  </si>
  <si>
    <r>
      <t>Determinazione del livello H</t>
    </r>
    <r>
      <rPr>
        <i/>
        <u val="single"/>
        <sz val="6"/>
        <rFont val="Times New Roman"/>
        <family val="1"/>
      </rPr>
      <t>B</t>
    </r>
    <r>
      <rPr>
        <i/>
        <u val="single"/>
        <sz val="10"/>
        <rFont val="Times New Roman"/>
        <family val="1"/>
      </rPr>
      <t xml:space="preserve"> nel serbatoio di valle</t>
    </r>
  </si>
  <si>
    <r>
      <t xml:space="preserve">Avendo noto il carico di monte 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 (v. sotto) e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 risulta immediato ricavare il livello di valle tramite l'equazione del</t>
    </r>
  </si>
  <si>
    <r>
      <t xml:space="preserve">   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-0,5*Q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)-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Symbol"/>
        <family val="1"/>
      </rPr>
      <t>-a</t>
    </r>
    <r>
      <rPr>
        <sz val="10"/>
        <rFont val="Times New Roman"/>
        <family val="1"/>
      </rPr>
      <t>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Z</t>
    </r>
    <r>
      <rPr>
        <sz val="6"/>
        <rFont val="Times New Roman"/>
        <family val="1"/>
      </rPr>
      <t>M</t>
    </r>
  </si>
  <si>
    <r>
      <t xml:space="preserve">Nell'equazione sopra scritta sono incognite la </t>
    </r>
    <r>
      <rPr>
        <i/>
        <sz val="10"/>
        <rFont val="Times New Roman"/>
        <family val="1"/>
      </rPr>
      <t xml:space="preserve">prevalenza totale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e 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Quest'ultimo, però, è immediatamente</t>
    </r>
    <r>
      <rPr>
        <i/>
        <sz val="10"/>
        <rFont val="Times New Roman"/>
        <family val="1"/>
      </rPr>
      <t xml:space="preserve"> </t>
    </r>
  </si>
  <si>
    <r>
      <t>deducibile tramite 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 xml:space="preserve"> o le formule corrispondenti giacchè la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nota.</t>
    </r>
  </si>
  <si>
    <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</si>
  <si>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</si>
  <si>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m</t>
    </r>
    <r>
      <rPr>
        <sz val="10"/>
        <rFont val="Times New Roman"/>
        <family val="1"/>
      </rPr>
      <t>/s</t>
    </r>
  </si>
  <si>
    <r>
      <t>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</si>
  <si>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</si>
  <si>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t>Ne consegue</t>
  </si>
  <si>
    <t>ovvero</t>
  </si>
  <si>
    <r>
      <t xml:space="preserve">    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</si>
  <si>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t>inoltre</t>
  </si>
  <si>
    <r>
      <t xml:space="preserve">    0,5*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</si>
  <si>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</si>
  <si>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Quindi</t>
    </r>
  </si>
  <si>
    <r>
      <t xml:space="preserve">                                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+0,5*V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</t>
    </r>
    <r>
      <rPr>
        <sz val="10"/>
        <rFont val="Times New Roman"/>
        <family val="1"/>
      </rPr>
      <t>)+J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</t>
    </r>
    <r>
      <rPr>
        <sz val="10"/>
        <rFont val="Times New Roman"/>
        <family val="1"/>
      </rPr>
      <t>)-Z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</si>
  <si>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t>Essendo ora nota la prevalenza totale superata, è possibile calcolare la potenza assorbita dalla pompa come da definizione.</t>
  </si>
  <si>
    <r>
      <t xml:space="preserve">  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</si>
  <si>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>Determinazione delle portate effluenti Q</t>
    </r>
    <r>
      <rPr>
        <i/>
        <u val="single"/>
        <sz val="6"/>
        <rFont val="Times New Roman"/>
        <family val="1"/>
      </rPr>
      <t>2</t>
    </r>
    <r>
      <rPr>
        <i/>
        <u val="single"/>
        <sz val="10"/>
        <rFont val="Times New Roman"/>
        <family val="1"/>
      </rPr>
      <t xml:space="preserve"> e Q</t>
    </r>
    <r>
      <rPr>
        <i/>
        <u val="single"/>
        <sz val="6"/>
        <rFont val="Times New Roman"/>
        <family val="1"/>
      </rPr>
      <t>3</t>
    </r>
  </si>
  <si>
    <r>
      <t xml:space="preserve">Dato che la quota del piano dei carichi idrostatici nel serbatoio intermedio,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, e quella del baricentro delle luci di efflusso,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</si>
  <si>
    <r>
      <t xml:space="preserve">sono note, risulta immediata la determinazione del battente </t>
    </r>
    <r>
      <rPr>
        <i/>
        <sz val="10"/>
        <rFont val="Times New Roman"/>
        <family val="1"/>
      </rPr>
      <t xml:space="preserve">h </t>
    </r>
    <r>
      <rPr>
        <sz val="10"/>
        <rFont val="Times New Roman"/>
        <family val="1"/>
      </rPr>
      <t xml:space="preserve">gravante su dette luci. Le equazioni di efflusso avranno, al netto del </t>
    </r>
  </si>
  <si>
    <r>
      <t>coefficiente di efflusso</t>
    </r>
    <r>
      <rPr>
        <sz val="10"/>
        <rFont val="Times New Roman"/>
        <family val="1"/>
      </rPr>
      <t>, la consueta forma tramite la quale è possibile ottenere direttamente i valori  incogniti cercati.</t>
    </r>
  </si>
  <si>
    <r>
      <t>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</si>
  <si>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Q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/4)*[2*g*h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</si>
  <si>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 =</t>
    </r>
  </si>
  <si>
    <r>
      <t>Il regime risulta turbolento di transizione</t>
    </r>
    <r>
      <rPr>
        <i/>
        <sz val="10"/>
        <rFont val="Times New Roman"/>
        <family val="1"/>
      </rPr>
      <t>.</t>
    </r>
  </si>
  <si>
    <r>
      <t xml:space="preserve">Le iterazioni procederanno fino a quando i valori di </t>
    </r>
    <r>
      <rPr>
        <i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(</t>
    </r>
    <r>
      <rPr>
        <i/>
        <vertAlign val="superscript"/>
        <sz val="10"/>
        <rFont val="Times New Roman"/>
        <family val="1"/>
      </rPr>
      <t>i-1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(</t>
    </r>
    <r>
      <rPr>
        <i/>
        <vertAlign val="super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)</t>
    </r>
    <r>
      <rPr>
        <i/>
        <sz val="10"/>
        <rFont val="Times New Roman"/>
        <family val="1"/>
      </rPr>
      <t xml:space="preserve"> </t>
    </r>
  </si>
  <si>
    <t>saranno ragionevolmente vicini tra loro (lo stesso dovrà accadere</t>
  </si>
  <si>
    <r>
      <t xml:space="preserve">per i numeri </t>
    </r>
    <r>
      <rPr>
        <i/>
        <sz val="10"/>
        <rFont val="Times New Roman"/>
        <family val="1"/>
      </rPr>
      <t>Re</t>
    </r>
    <r>
      <rPr>
        <vertAlign val="superscript"/>
        <sz val="10"/>
        <rFont val="Times New Roman"/>
        <family val="1"/>
      </rPr>
      <t>(</t>
    </r>
    <r>
      <rPr>
        <i/>
        <vertAlign val="superscript"/>
        <sz val="10"/>
        <rFont val="Times New Roman"/>
        <family val="1"/>
      </rPr>
      <t>i-1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Re</t>
    </r>
    <r>
      <rPr>
        <vertAlign val="superscript"/>
        <sz val="10"/>
        <rFont val="Times New Roman"/>
        <family val="1"/>
      </rPr>
      <t>(</t>
    </r>
    <r>
      <rPr>
        <i/>
        <vertAlign val="super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.</t>
    </r>
  </si>
  <si>
    <t>Iterazione 2</t>
  </si>
  <si>
    <r>
      <t>l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00</t>
    </r>
    <r>
      <rPr>
        <sz val="10"/>
        <rFont val="Times New Roman"/>
        <family val="1"/>
      </rPr>
      <t>*{1+8/[Re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/D]} =</t>
    </r>
  </si>
  <si>
    <r>
      <t>Q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 xml:space="preserve"> = A*radq{2*g*(Z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)/[0.5+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*L/D+1]} =</t>
    </r>
  </si>
  <si>
    <r>
      <t>Re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 xml:space="preserve"> =4*Q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*D) = </t>
    </r>
  </si>
  <si>
    <r>
      <t xml:space="preserve">Già alla seconda iterazione si ha </t>
    </r>
    <r>
      <rPr>
        <i/>
        <sz val="10"/>
        <rFont val="Times New Roman"/>
        <family val="1"/>
      </rPr>
      <t>Q</t>
    </r>
    <r>
      <rPr>
        <i/>
        <vertAlign val="superscript"/>
        <sz val="10"/>
        <rFont val="Times New Roman"/>
        <family val="1"/>
      </rPr>
      <t>(i-1)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Q</t>
    </r>
    <r>
      <rPr>
        <i/>
        <vertAlign val="superscript"/>
        <sz val="10"/>
        <rFont val="Times New Roman"/>
        <family val="1"/>
      </rPr>
      <t>(i)</t>
    </r>
    <r>
      <rPr>
        <i/>
        <sz val="10"/>
        <rFont val="Times New Roman"/>
        <family val="1"/>
      </rPr>
      <t>.</t>
    </r>
  </si>
  <si>
    <r>
      <t xml:space="preserve">                      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</t>
    </r>
    <r>
      <rPr>
        <b/>
        <i/>
        <sz val="10"/>
        <rFont val="Times New Roman"/>
        <family val="1"/>
      </rPr>
      <t>l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*(</t>
    </r>
    <r>
      <rPr>
        <b/>
        <sz val="10"/>
        <rFont val="Symbol"/>
        <family val="1"/>
      </rPr>
      <t>g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)/</t>
    </r>
    <r>
      <rPr>
        <b/>
        <sz val="10"/>
        <rFont val="Symbol"/>
        <family val="1"/>
      </rPr>
      <t>g</t>
    </r>
  </si>
  <si>
    <r>
      <t xml:space="preserve">             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= 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</t>
    </r>
  </si>
  <si>
    <r>
      <t xml:space="preserve">           V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/(Cc*</t>
    </r>
    <r>
      <rPr>
        <sz val="10"/>
        <rFont val="Symbol"/>
        <family val="1"/>
      </rPr>
      <t>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</si>
  <si>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Quindi, l'altezza cinetica alla sezione contratta vale           </t>
    </r>
    <r>
      <rPr>
        <i/>
        <sz val="10"/>
        <rFont val="Symbol"/>
        <family val="1"/>
      </rPr>
      <t xml:space="preserve">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</si>
  <si>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    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-0,1*Q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/[2*g*(Cc*A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]-Z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</si>
  <si>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t>che essendo un valore positivo, garantisce che nella sezione contratta non vi siano depressioni.</t>
  </si>
  <si>
    <r>
      <t>Determinazione della portata circolante Q</t>
    </r>
    <r>
      <rPr>
        <i/>
        <u val="single"/>
        <sz val="6"/>
        <rFont val="Times New Roman"/>
        <family val="1"/>
      </rPr>
      <t>2</t>
    </r>
  </si>
  <si>
    <r>
      <t>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h+(H-h)/2 =</t>
    </r>
  </si>
  <si>
    <r>
      <t xml:space="preserve">In realtà,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è calcolabile come:</t>
    </r>
  </si>
  <si>
    <r>
      <t xml:space="preserve">     J = {[Z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 -[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]}/L =</t>
    </r>
  </si>
  <si>
    <r>
      <t xml:space="preserve">Nella formula di </t>
    </r>
    <r>
      <rPr>
        <i/>
        <sz val="10"/>
        <rFont val="Times New Roman"/>
        <family val="1"/>
      </rPr>
      <t>Colebrook-White</t>
    </r>
  </si>
  <si>
    <r>
      <t>1/radq(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) = 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{2,51/[Re*radq(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)]+(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/D)/3,71}</t>
    </r>
  </si>
  <si>
    <r>
      <t>Re</t>
    </r>
    <r>
      <rPr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sono incognite, però il loro prodotto</t>
    </r>
  </si>
  <si>
    <r>
      <t xml:space="preserve">                Re*radq(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) = (D/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)*radq(2*g*D*J) =</t>
    </r>
  </si>
  <si>
    <t>è un valore noto.</t>
  </si>
  <si>
    <r>
      <t xml:space="preserve">Ne consegue la possibilità di calcolare esplicitamente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come di seguito indicato.</t>
    </r>
  </si>
  <si>
    <t>Essendo</t>
  </si>
  <si>
    <r>
      <t>e</t>
    </r>
    <r>
      <rPr>
        <sz val="10"/>
        <rFont val="Times New Roman"/>
        <family val="1"/>
      </rPr>
      <t>/D =</t>
    </r>
  </si>
  <si>
    <t>si ottiene</t>
  </si>
  <si>
    <r>
      <t xml:space="preserve">             l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</t>
    </r>
    <r>
      <rPr>
        <b/>
        <i/>
        <sz val="10"/>
        <rFont val="Times New Roman"/>
        <family val="1"/>
      </rPr>
      <t>Re*radq(</t>
    </r>
    <r>
      <rPr>
        <b/>
        <i/>
        <sz val="10"/>
        <rFont val="Symbol"/>
        <family val="1"/>
      </rPr>
      <t>l</t>
    </r>
    <r>
      <rPr>
        <b/>
        <i/>
        <sz val="10"/>
        <rFont val="Times New Roman"/>
        <family val="1"/>
      </rPr>
      <t>)</t>
    </r>
    <r>
      <rPr>
        <sz val="10"/>
        <rFont val="Times New Roman"/>
        <family val="1"/>
      </rPr>
      <t>]+(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/D)/3.71]}}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</si>
  <si>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 xml:space="preserve">Quindi, risolvendo rispetto 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l'equazione di </t>
    </r>
    <r>
      <rPr>
        <i/>
        <sz val="10"/>
        <rFont val="Times New Roman"/>
        <family val="1"/>
      </rPr>
      <t>Darcy-Weisbach</t>
    </r>
    <r>
      <rPr>
        <sz val="10"/>
        <rFont val="Times New Roman"/>
        <family val="1"/>
      </rPr>
      <t>, si ottiene:</t>
    </r>
  </si>
  <si>
    <r>
      <t>Q = 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/4)*radq[(2*g*D*J)/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] =</t>
    </r>
  </si>
  <si>
    <t>Esercizio 44</t>
  </si>
  <si>
    <r>
      <t>g</t>
    </r>
    <r>
      <rPr>
        <sz val="6"/>
        <rFont val="Times New Roman"/>
        <family val="1"/>
      </rPr>
      <t>m</t>
    </r>
    <r>
      <rPr>
        <sz val="10"/>
        <rFont val="Symbol"/>
        <family val="1"/>
      </rPr>
      <t xml:space="preserve"> =</t>
    </r>
  </si>
  <si>
    <t>Determinazione della portata circolante Q</t>
  </si>
  <si>
    <r>
      <t xml:space="preserve">Equazione del moto per una corrente che "va" dalla sezione 1 alla sezione 2; incognite: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Z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, p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J </t>
    </r>
  </si>
  <si>
    <r>
      <t xml:space="preserve">(cioè: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Z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p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>).</t>
    </r>
  </si>
  <si>
    <r>
      <t xml:space="preserve">In realtà,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è calcolabile - grazie al dislivello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tra i menischi del fluido manometrico- come:</t>
    </r>
  </si>
  <si>
    <r>
      <t>J = {[Z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 -[ 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]}/L = [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g]/</t>
    </r>
    <r>
      <rPr>
        <sz val="10"/>
        <rFont val="Times New Roman"/>
        <family val="1"/>
      </rPr>
      <t>L =</t>
    </r>
  </si>
  <si>
    <t>Si ricorda che il manometro differenziale - che nasce come uno strumento da applicarsi nella statica dei fluidi</t>
  </si>
  <si>
    <t>- può essere utilizzato anche in dinamica, laddove la corrente sia lineare o gradualmente variata.</t>
  </si>
  <si>
    <r>
      <t>Re</t>
    </r>
    <r>
      <rPr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sono incognite, però il loro prodotto:</t>
    </r>
  </si>
  <si>
    <t>Esercizio 45</t>
  </si>
  <si>
    <r>
      <t>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</si>
  <si>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t>Cc =</t>
  </si>
  <si>
    <r>
      <t xml:space="preserve">Determinare </t>
    </r>
    <r>
      <rPr>
        <sz val="10"/>
        <rFont val="Times New Roman"/>
        <family val="1"/>
      </rPr>
      <t xml:space="preserve">la portata transitante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verificare la pressione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all'imbocco.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la </t>
    </r>
    <r>
      <rPr>
        <i/>
        <sz val="10"/>
        <rFont val="Times New Roman"/>
        <family val="1"/>
      </rPr>
      <t>L.P..</t>
    </r>
  </si>
  <si>
    <t>Determinazione della portata circolante</t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</si>
  <si>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- Z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 xml:space="preserve"> = 0,5*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/D)*Q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</si>
  <si>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 xml:space="preserve">Equazione del moto per una corrente che "va" dalla sezione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alla sezione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6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>.</t>
    </r>
  </si>
  <si>
    <r>
      <t>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</si>
  <si>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 xml:space="preserve">Dove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0 Pa, </t>
    </r>
    <r>
      <rPr>
        <i/>
        <sz val="10"/>
        <rFont val="Times New Roman"/>
        <family val="1"/>
      </rPr>
      <t>V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C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A</t>
    </r>
    <r>
      <rPr>
        <i/>
        <sz val="6"/>
        <rFont val="Times New Roman"/>
        <family val="1"/>
      </rPr>
      <t>U</t>
    </r>
    <r>
      <rPr>
        <sz val="10"/>
        <rFont val="Times New Roman"/>
        <family val="1"/>
      </rPr>
      <t xml:space="preserve">. Inoltre </t>
    </r>
    <r>
      <rPr>
        <i/>
        <sz val="10"/>
        <rFont val="Times New Roman"/>
        <family val="1"/>
      </rPr>
      <t>V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 xml:space="preserve"> = V</t>
    </r>
    <r>
      <rPr>
        <i/>
        <sz val="6"/>
        <rFont val="Times New Roman"/>
        <family val="1"/>
      </rPr>
      <t>C</t>
    </r>
    <r>
      <rPr>
        <i/>
        <sz val="10"/>
        <rFont val="Times New Roman"/>
        <family val="1"/>
      </rPr>
      <t>*cos</t>
    </r>
    <r>
      <rPr>
        <i/>
        <sz val="10"/>
        <rFont val="Symbol"/>
        <family val="1"/>
      </rPr>
      <t>f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Ne consegue:</t>
    </r>
  </si>
  <si>
    <r>
      <t>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/[2*g*(C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*A</t>
    </r>
    <r>
      <rPr>
        <b/>
        <sz val="6"/>
        <rFont val="Times New Roman"/>
        <family val="1"/>
      </rPr>
      <t>U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 = 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+{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/[2*g*(C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*A</t>
    </r>
    <r>
      <rPr>
        <b/>
        <sz val="6"/>
        <rFont val="Times New Roman"/>
        <family val="1"/>
      </rPr>
      <t>U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]}*(cos</t>
    </r>
    <r>
      <rPr>
        <b/>
        <sz val="10"/>
        <rFont val="Symbol"/>
        <family val="1"/>
      </rPr>
      <t>f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</si>
  <si>
    <r>
      <t>A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U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</si>
  <si>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risulta:</t>
  </si>
  <si>
    <r>
      <t>Q = 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*radq[2*g</t>
    </r>
    <r>
      <rPr>
        <sz val="10"/>
        <rFont val="Arial"/>
        <family val="0"/>
      </rPr>
      <t>(</t>
    </r>
    <r>
      <rPr>
        <sz val="10"/>
        <rFont val="Times New Roman"/>
        <family val="1"/>
      </rPr>
      <t>Z</t>
    </r>
    <r>
      <rPr>
        <sz val="6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Times New Roman"/>
        <family val="1"/>
      </rPr>
      <t>Z</t>
    </r>
    <r>
      <rPr>
        <sz val="6"/>
        <rFont val="Times New Roman"/>
        <family val="1"/>
      </rPr>
      <t>C</t>
    </r>
    <r>
      <rPr>
        <sz val="10"/>
        <rFont val="Arial"/>
        <family val="0"/>
      </rPr>
      <t>)</t>
    </r>
    <r>
      <rPr>
        <sz val="10"/>
        <rFont val="Times New Roman"/>
        <family val="1"/>
      </rPr>
      <t>]/sen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</t>
    </r>
  </si>
  <si>
    <r>
      <t>Equazione del moto per una corrente che "va" dal un serbatoio di monte alla sezione contratta di sbocco</t>
    </r>
    <r>
      <rPr>
        <i/>
        <sz val="10"/>
        <rFont val="Times New Roman"/>
        <family val="1"/>
      </rPr>
      <t xml:space="preserve">; </t>
    </r>
    <r>
      <rPr>
        <sz val="10"/>
        <rFont val="Times New Roman"/>
        <family val="1"/>
      </rPr>
      <t>incognite:</t>
    </r>
  </si>
  <si>
    <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.</t>
    </r>
  </si>
  <si>
    <r>
      <t>Z</t>
    </r>
    <r>
      <rPr>
        <b/>
        <sz val="6"/>
        <rFont val="Times New Roman"/>
        <family val="1"/>
      </rPr>
      <t>S</t>
    </r>
    <r>
      <rPr>
        <b/>
        <sz val="10"/>
        <rFont val="Times New Roman"/>
        <family val="1"/>
      </rPr>
      <t>-(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H</t>
    </r>
    <r>
      <rPr>
        <b/>
        <sz val="6"/>
        <rFont val="Times New Roman"/>
        <family val="1"/>
      </rPr>
      <t>P</t>
    </r>
    <r>
      <rPr>
        <b/>
        <sz val="10"/>
        <rFont val="Symbol"/>
        <family val="1"/>
      </rPr>
      <t>-</t>
    </r>
    <r>
      <rPr>
        <b/>
        <sz val="10"/>
        <rFont val="Times New Roman"/>
        <family val="1"/>
      </rPr>
      <t>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/[2*g*(CCA</t>
    </r>
    <r>
      <rPr>
        <b/>
        <sz val="6"/>
        <rFont val="Times New Roman"/>
        <family val="1"/>
      </rPr>
      <t>U)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 = Z</t>
    </r>
    <r>
      <rPr>
        <b/>
        <sz val="6"/>
        <rFont val="Times New Roman"/>
        <family val="1"/>
      </rPr>
      <t>C</t>
    </r>
  </si>
  <si>
    <r>
      <t>l'imbocco e mantiene la stessa inclinazione lungo il tratto a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. E' tracciata orizzontale sopra il convergente, ancora</t>
    </r>
  </si>
  <si>
    <r>
      <t>inclinata con una diversa pendenza lungo tutto il tronco a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ed infine, con un "gradino" vericale giunge ad incontrare</t>
    </r>
  </si>
  <si>
    <t>La L.P. si traccia verso monte a partire dal P.C.I. del serbatoio di valle, proprio da dove la L.C.T. si interrompe. Essa è parallela</t>
  </si>
  <si>
    <r>
      <t>corrisponde sempre all'altezza cinetica posseduta dalla corrente. Dunque le linee sono più vicine nel tronco a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</t>
    </r>
  </si>
  <si>
    <r>
      <t>più lontane in quello a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. All'imbocco ed in corrispondenza del convergente, il tracciamento avviene con un tratto di </t>
    </r>
  </si>
  <si>
    <r>
      <t xml:space="preserve">Inoltre, si fa presto a notare che il carico totale dell'unità di peso del fluido nel punto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è lo stesso del punto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.</t>
    </r>
  </si>
  <si>
    <r>
      <t xml:space="preserve">             H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</si>
  <si>
    <r>
      <t xml:space="preserve">          Z</t>
    </r>
    <r>
      <rPr>
        <sz val="6"/>
        <rFont val="Times New Roman"/>
        <family val="1"/>
      </rPr>
      <t xml:space="preserve">D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0</t>
    </r>
  </si>
  <si>
    <r>
      <t xml:space="preserve">perché il punto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si trova alla stessa pressione del fluido </t>
    </r>
  </si>
  <si>
    <t>presente nel serbatoio alla stessa quota. Esso, però, a</t>
  </si>
  <si>
    <t xml:space="preserve">differenza del fluido fermo è dotato di energia cinetica e </t>
  </si>
  <si>
    <t xml:space="preserve">questo è il motivo per il quale nonostante l'uguaglianza di </t>
  </si>
  <si>
    <r>
      <t xml:space="preserve">pressione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"riesce ad avanzare".</t>
    </r>
  </si>
  <si>
    <r>
      <t>u</t>
    </r>
    <r>
      <rPr>
        <sz val="6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</si>
  <si>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poiché    u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Q/A       </t>
    </r>
  </si>
  <si>
    <r>
      <t xml:space="preserve">             H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0 </t>
    </r>
    <r>
      <rPr>
        <sz val="10"/>
        <rFont val="Times New Roman"/>
        <family val="1"/>
      </rPr>
      <t>+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H</t>
    </r>
    <r>
      <rPr>
        <sz val="6"/>
        <rFont val="Times New Roman"/>
        <family val="1"/>
      </rPr>
      <t>B</t>
    </r>
  </si>
  <si>
    <t xml:space="preserve">Generalizzando, qualsiasi traiettoria che porti dal serbatoio di monte alla sezione di sbocco condurrà alla medesima </t>
  </si>
  <si>
    <r>
      <t xml:space="preserve">"sostituito" da quello di </t>
    </r>
    <r>
      <rPr>
        <i/>
        <sz val="10"/>
        <rFont val="Times New Roman"/>
        <family val="1"/>
      </rPr>
      <t>corrente</t>
    </r>
    <r>
      <rPr>
        <sz val="10"/>
        <rFont val="Times New Roman"/>
        <family val="1"/>
      </rPr>
      <t>.</t>
    </r>
  </si>
  <si>
    <r>
      <t>p</t>
    </r>
    <r>
      <rPr>
        <sz val="6"/>
        <rFont val="Times New Roman"/>
        <family val="1"/>
      </rPr>
      <t>A-A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</si>
  <si>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Times New Roman"/>
        <family val="1"/>
      </rPr>
      <t>A-A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</si>
  <si>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</si>
  <si>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G =</t>
  </si>
  <si>
    <r>
      <t>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</si>
  <si>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01</t>
    </r>
    <r>
      <rPr>
        <b/>
        <sz val="10"/>
        <rFont val="Times New Roman"/>
        <family val="1"/>
      </rPr>
      <t xml:space="preserve"> = 0</t>
    </r>
  </si>
  <si>
    <r>
      <t>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</si>
  <si>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</si>
  <si>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>W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</si>
  <si>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</si>
  <si>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G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02</t>
    </r>
    <r>
      <rPr>
        <b/>
        <sz val="10"/>
        <rFont val="Times New Roman"/>
        <family val="1"/>
      </rPr>
      <t xml:space="preserve"> = 0</t>
    </r>
  </si>
  <si>
    <r>
      <t>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</si>
  <si>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</si>
  <si>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>W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</si>
  <si>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</si>
  <si>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pressione del gas e le componenti della spinta sulla superficie curva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. </t>
    </r>
  </si>
  <si>
    <t>Esercizio 16</t>
  </si>
  <si>
    <t>Esercizio 17</t>
  </si>
  <si>
    <t>Esercizio 18</t>
  </si>
  <si>
    <t>Esercizio 19</t>
  </si>
  <si>
    <r>
      <t>G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= 0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</si>
  <si>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</si>
  <si>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>W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</si>
  <si>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le componenti della spinta sulla superficie semisferica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. </t>
    </r>
  </si>
  <si>
    <t>Esercizio 20</t>
  </si>
  <si>
    <r>
      <t xml:space="preserve">S = 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</t>
    </r>
  </si>
  <si>
    <r>
      <t>S</t>
    </r>
    <r>
      <rPr>
        <sz val="6"/>
        <rFont val="Times New Roman"/>
        <family val="1"/>
      </rPr>
      <t xml:space="preserve"> </t>
    </r>
    <r>
      <rPr>
        <sz val="6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</si>
  <si>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</t>
    </r>
    <r>
      <rPr>
        <sz val="6"/>
        <rFont val="Symbol"/>
        <family val="1"/>
      </rPr>
      <t>t</t>
    </r>
    <r>
      <rPr>
        <sz val="10"/>
        <rFont val="Times New Roman"/>
        <family val="1"/>
      </rPr>
      <t xml:space="preserve"> =</t>
    </r>
  </si>
  <si>
    <t>Nella parte occupata da gas sarà invece proprio quest'ultimo ad esercitare la spinta.</t>
  </si>
  <si>
    <r>
      <t xml:space="preserve">Dunque la loro azione corrisponderà a quella di un risultante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b/>
        <sz val="10"/>
        <rFont val="Times New Roman"/>
        <family val="1"/>
      </rPr>
      <t>+S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avente medesima direzione ma verso e posizione da determinarsi.</t>
    </r>
  </si>
  <si>
    <r>
      <t xml:space="preserve">                 A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(H-h) L =</t>
    </r>
  </si>
  <si>
    <r>
      <t xml:space="preserve">                   A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(H-h) L =</t>
    </r>
  </si>
  <si>
    <t>ovvero, come si era detto, tra l'interfaccia e il fondo del recipiente.</t>
  </si>
  <si>
    <r>
      <t xml:space="preserve">area premuta dal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pressione":</t>
    </r>
  </si>
  <si>
    <r>
      <t>A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 L =</t>
    </r>
  </si>
  <si>
    <r>
      <t xml:space="preserve">depressione" rispetto al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stesso:</t>
    </r>
  </si>
  <si>
    <r>
      <t xml:space="preserve">area premuta dal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"in depressione":</t>
    </r>
  </si>
  <si>
    <r>
      <t>Modulo S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</si>
  <si>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Per prima cosa occorre calcolare la </t>
    </r>
    <r>
      <rPr>
        <i/>
        <sz val="10"/>
        <rFont val="Times New Roman"/>
        <family val="1"/>
      </rPr>
      <t>prevalenza totale</t>
    </r>
    <r>
      <rPr>
        <sz val="10"/>
        <rFont val="Times New Roman"/>
        <family val="1"/>
      </rPr>
      <t xml:space="preserve"> superata dalla pompa fruendo dell'equazione del moto tra i </t>
    </r>
  </si>
  <si>
    <r>
      <t xml:space="preserve">serbatoi attraverso i quali circola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>.</t>
    </r>
  </si>
  <si>
    <r>
      <t xml:space="preserve">Fatto ciò, la prevalenza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della pompa si ricava come incognita dall'equazione del moto tra il suddetto serbatoio e quello di</t>
    </r>
  </si>
  <si>
    <t>aspirazione.</t>
  </si>
  <si>
    <r>
      <t xml:space="preserve">   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-0,5*V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'+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-(V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''-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 H</t>
    </r>
    <r>
      <rPr>
        <sz val="6"/>
        <rFont val="Times New Roman"/>
        <family val="1"/>
      </rPr>
      <t>S</t>
    </r>
  </si>
  <si>
    <r>
      <t>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</si>
  <si>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</si>
  <si>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 xml:space="preserve">semi calotta inferiore (fino alla tangenza verticale) ove le componenti </t>
  </si>
  <si>
    <t xml:space="preserve">verticali delle pressioni hanno verso opposto all'asse z. Esso va </t>
  </si>
  <si>
    <t xml:space="preserve">considerato "diretto verso il basso", come le componenti suddette, </t>
  </si>
  <si>
    <r>
      <t>con retta d'azione verticale passante per il baricentro di W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>.</t>
    </r>
  </si>
  <si>
    <r>
      <t>W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B1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L+1/4</t>
    </r>
    <r>
      <rPr>
        <sz val="6"/>
        <rFont val="Times New Roman"/>
        <family val="1"/>
      </rPr>
      <t xml:space="preserve">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 =</t>
    </r>
  </si>
  <si>
    <r>
      <t>P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=</t>
    </r>
  </si>
  <si>
    <r>
      <t>La componente 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risulterà dalla differenza di questi due pesi.</t>
    </r>
  </si>
  <si>
    <r>
      <t xml:space="preserve">      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>-P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=</t>
    </r>
  </si>
  <si>
    <t>Essa, a causa del segno meno, sarà diretta verso il basso. Inoltre, si consideri che la differenza tra i pesi dei due volumi individuati corrisponde</t>
  </si>
  <si>
    <t>questo volume.</t>
  </si>
  <si>
    <t>esattamente al peso del volume di fluido intrappolato nella calotta. Quindi detta componente avrà retta d'azione passante per il baricentro di</t>
  </si>
  <si>
    <t>Metodo delle componenti applicato alla calotta 2</t>
  </si>
  <si>
    <t>adotta per le superfici piane.</t>
  </si>
  <si>
    <t>orientata come le componenti orizzontali delle pressioni ivi agenti. Il procedimento da adottare per il calcolo è quindi quello valido per le</t>
  </si>
  <si>
    <t>superfici piane.</t>
  </si>
  <si>
    <t>●  area "dell'ombra" piana della calotta 2 proiettata su un piano verticale:</t>
  </si>
  <si>
    <r>
      <t>●  componente S</t>
    </r>
    <r>
      <rPr>
        <sz val="6"/>
        <rFont val="Times New Roman"/>
        <family val="1"/>
      </rPr>
      <t>2 x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</si>
  <si>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t xml:space="preserve">considerato "diretto verso il basso", come le componenti suddette, con </t>
  </si>
  <si>
    <r>
      <t>retta d'azione verticale passante per il baricentro di W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>.</t>
    </r>
  </si>
  <si>
    <r>
      <t>e quindi la pressione di CH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all'interfaccia con il fluido manometrico (punto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>) è:</t>
    </r>
  </si>
  <si>
    <r>
      <t xml:space="preserve">            p</t>
    </r>
    <r>
      <rPr>
        <sz val="6"/>
        <rFont val="Times New Roman"/>
        <family val="1"/>
      </rPr>
      <t>CO2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</si>
  <si>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dunque il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si trova alla quota:</t>
    </r>
  </si>
  <si>
    <r>
      <t>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</si>
  <si>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 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</si>
  <si>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al di sopra del punto 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>.</t>
    </r>
  </si>
  <si>
    <r>
      <t xml:space="preserve">Infine, preso un punto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all'interfaccia tra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, l'affondamento rispetto al PCI appena determinato è pari a:</t>
    </r>
  </si>
  <si>
    <r>
      <t xml:space="preserve">           h'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+(h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</si>
  <si>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t>e quindi la pressione vale:</t>
  </si>
  <si>
    <r>
      <t xml:space="preserve">             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</si>
  <si>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Alla stessa pressione corrisponde un affondamento h''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del punto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rispetto al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è calcolabile come:</t>
    </r>
  </si>
  <si>
    <r>
      <t>h''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</si>
  <si>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quota, dunque, del PCI di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(rispetto a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).</t>
    </r>
  </si>
  <si>
    <r>
      <t xml:space="preserve">Azione di </t>
    </r>
    <r>
      <rPr>
        <i/>
        <u val="single"/>
        <sz val="10"/>
        <rFont val="Symbol"/>
        <family val="1"/>
      </rPr>
      <t>g</t>
    </r>
    <r>
      <rPr>
        <i/>
        <u val="single"/>
        <sz val="6"/>
        <rFont val="Times New Roman"/>
        <family val="1"/>
      </rPr>
      <t>3</t>
    </r>
  </si>
  <si>
    <r>
      <t xml:space="preserve">S(3) </t>
    </r>
    <r>
      <rPr>
        <sz val="10"/>
        <rFont val="Times New Roman"/>
        <family val="1"/>
      </rPr>
      <t>=</t>
    </r>
    <r>
      <rPr>
        <b/>
        <sz val="10"/>
        <rFont val="Times New Roman"/>
        <family val="1"/>
      </rPr>
      <t xml:space="preserve">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(3) </t>
    </r>
    <r>
      <rPr>
        <sz val="10"/>
        <rFont val="Times New Roman"/>
        <family val="1"/>
      </rPr>
      <t>= -</t>
    </r>
    <r>
      <rPr>
        <b/>
        <sz val="10"/>
        <rFont val="Times New Roman"/>
        <family val="1"/>
      </rPr>
      <t>G(3)</t>
    </r>
    <r>
      <rPr>
        <sz val="10"/>
        <rFont val="Times New Roman"/>
        <family val="1"/>
      </rPr>
      <t>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(3) </t>
    </r>
  </si>
  <si>
    <t>Numericamente si ha:</t>
  </si>
  <si>
    <r>
      <t xml:space="preserve">ed essendo noti i vettori a secondo membro lo è anche </t>
    </r>
    <r>
      <rPr>
        <b/>
        <sz val="10"/>
        <rFont val="Times New Roman"/>
        <family val="1"/>
      </rPr>
      <t>S(3)</t>
    </r>
    <r>
      <rPr>
        <sz val="10"/>
        <rFont val="Times New Roman"/>
        <family val="1"/>
      </rPr>
      <t xml:space="preserve"> con le sue componenti.</t>
    </r>
  </si>
  <si>
    <r>
      <t xml:space="preserve">      h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-(h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)+h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</si>
  <si>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p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</si>
  <si>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</si>
  <si>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(3)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>:</t>
    </r>
  </si>
  <si>
    <r>
      <t xml:space="preserve">Azione di </t>
    </r>
    <r>
      <rPr>
        <i/>
        <u val="single"/>
        <sz val="10"/>
        <rFont val="Symbol"/>
        <family val="1"/>
      </rPr>
      <t>g</t>
    </r>
    <r>
      <rPr>
        <i/>
        <u val="single"/>
        <sz val="6"/>
        <rFont val="Times New Roman"/>
        <family val="1"/>
      </rPr>
      <t>1</t>
    </r>
    <r>
      <rPr>
        <i/>
        <u val="single"/>
        <sz val="10"/>
        <rFont val="Times New Roman"/>
        <family val="1"/>
      </rPr>
      <t xml:space="preserve"> e </t>
    </r>
    <r>
      <rPr>
        <i/>
        <u val="single"/>
        <sz val="10"/>
        <rFont val="Symbol"/>
        <family val="1"/>
      </rPr>
      <t>g</t>
    </r>
    <r>
      <rPr>
        <i/>
        <u val="single"/>
        <sz val="6"/>
        <rFont val="Times New Roman"/>
        <family val="1"/>
      </rPr>
      <t>2</t>
    </r>
  </si>
  <si>
    <r>
      <t xml:space="preserve">dove 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corrisponde esattamente all'incognita </t>
    </r>
    <r>
      <rPr>
        <b/>
        <sz val="10"/>
        <rFont val="Times New Roman"/>
        <family val="1"/>
      </rPr>
      <t>S(3)</t>
    </r>
    <r>
      <rPr>
        <sz val="10"/>
        <rFont val="Times New Roman"/>
        <family val="1"/>
      </rPr>
      <t>. Dunque:</t>
    </r>
  </si>
  <si>
    <r>
      <t xml:space="preserve">S(1, 2) </t>
    </r>
    <r>
      <rPr>
        <sz val="10"/>
        <rFont val="Times New Roman"/>
        <family val="1"/>
      </rPr>
      <t>=</t>
    </r>
    <r>
      <rPr>
        <b/>
        <sz val="10"/>
        <rFont val="Times New Roman"/>
        <family val="1"/>
      </rPr>
      <t xml:space="preserve"> -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(1, 2) </t>
    </r>
    <r>
      <rPr>
        <sz val="10"/>
        <rFont val="Times New Roman"/>
        <family val="1"/>
      </rPr>
      <t xml:space="preserve">= </t>
    </r>
    <r>
      <rPr>
        <b/>
        <sz val="10"/>
        <rFont val="Times New Roman"/>
        <family val="1"/>
      </rPr>
      <t>G(1)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>G(2)</t>
    </r>
    <r>
      <rPr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>+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(2) </t>
    </r>
  </si>
  <si>
    <r>
      <t xml:space="preserve">      W(3)</t>
    </r>
    <r>
      <rPr>
        <sz val="10"/>
        <rFont val="Times New Roman"/>
        <family val="1"/>
      </rPr>
      <t xml:space="preserve"> = 1/2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L =</t>
    </r>
  </si>
  <si>
    <r>
      <t xml:space="preserve">       G(3)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W(3)</t>
    </r>
    <r>
      <rPr>
        <sz val="10"/>
        <rFont val="Times New Roman"/>
        <family val="1"/>
      </rPr>
      <t xml:space="preserve"> =</t>
    </r>
  </si>
  <si>
    <r>
      <t xml:space="preserve">      W(1) = 1/4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L =</t>
    </r>
  </si>
  <si>
    <r>
      <t xml:space="preserve">       G(1)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W(1)</t>
    </r>
    <r>
      <rPr>
        <sz val="10"/>
        <rFont val="Times New Roman"/>
        <family val="1"/>
      </rPr>
      <t xml:space="preserve"> =</t>
    </r>
  </si>
  <si>
    <r>
      <t xml:space="preserve">      W(2) = 1/4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L =</t>
    </r>
  </si>
  <si>
    <r>
      <t xml:space="preserve">       G(2)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W(2) =</t>
    </r>
  </si>
  <si>
    <r>
      <t xml:space="preserve">       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h'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-D/4 =</t>
    </r>
  </si>
  <si>
    <r>
      <t xml:space="preserve">          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</si>
  <si>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t>A(3) = D L =</t>
  </si>
  <si>
    <r>
      <t xml:space="preserve">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(3) = p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A(3)</t>
    </r>
    <r>
      <rPr>
        <sz val="10"/>
        <rFont val="Times New Roman"/>
        <family val="1"/>
      </rPr>
      <t xml:space="preserve"> =</t>
    </r>
  </si>
  <si>
    <t xml:space="preserve">           A(1) = D/2 L =</t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</si>
  <si>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</si>
  <si>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(1)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(1)</t>
    </r>
    <r>
      <rPr>
        <sz val="10"/>
        <rFont val="Times New Roman"/>
        <family val="1"/>
      </rPr>
      <t>:</t>
    </r>
  </si>
  <si>
    <r>
      <t xml:space="preserve">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(1) =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A(1) =</t>
    </r>
  </si>
  <si>
    <t xml:space="preserve">questa spinta è orizzontale, con il verso positivo di x, ed è applicata nel </t>
  </si>
  <si>
    <r>
      <t xml:space="preserve">       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h''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+D/4 =</t>
    </r>
  </si>
  <si>
    <r>
      <t xml:space="preserve">          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</si>
  <si>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1</t>
    </r>
    <r>
      <rPr>
        <b/>
        <sz val="10"/>
        <rFont val="Times New Roman"/>
        <family val="1"/>
      </rPr>
      <t>(2)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</si>
  <si>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(2)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(2)</t>
    </r>
    <r>
      <rPr>
        <sz val="10"/>
        <rFont val="Times New Roman"/>
        <family val="1"/>
      </rPr>
      <t>:</t>
    </r>
  </si>
  <si>
    <t xml:space="preserve">           A(2) = D/2 L =</t>
  </si>
  <si>
    <r>
      <t xml:space="preserve">   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(2)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A(2) =</t>
    </r>
  </si>
  <si>
    <r>
      <t xml:space="preserve">La spinta "netta"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 xml:space="preserve"> sulla superficie curva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è la somma vettoriale di </t>
    </r>
    <r>
      <rPr>
        <b/>
        <sz val="10"/>
        <rFont val="Times New Roman"/>
        <family val="1"/>
      </rPr>
      <t>S(1, 2)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S(3)</t>
    </r>
    <r>
      <rPr>
        <sz val="10"/>
        <rFont val="Times New Roman"/>
        <family val="1"/>
      </rPr>
      <t>. Dunque, operando per componenti si ha:</t>
    </r>
  </si>
  <si>
    <r>
      <t>S(3)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(3) =</t>
    </r>
  </si>
  <si>
    <r>
      <t xml:space="preserve">        S(3)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G(3) =</t>
    </r>
  </si>
  <si>
    <r>
      <t xml:space="preserve">         S(3) = {[S(3)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+[S(3)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}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</si>
  <si>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S(1, 2)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(1)+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(2) =</t>
    </r>
  </si>
  <si>
    <r>
      <t xml:space="preserve">  </t>
    </r>
    <r>
      <rPr>
        <sz val="10"/>
        <rFont val="Times New Roman"/>
        <family val="1"/>
      </rPr>
      <t>S(1, 2) = {[S(1, 2)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+[S(1, 2)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}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</si>
  <si>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S</t>
    </r>
    <r>
      <rPr>
        <sz val="6"/>
        <rFont val="Times New Roman"/>
        <family val="1"/>
      </rPr>
      <t>RR x</t>
    </r>
    <r>
      <rPr>
        <sz val="10"/>
        <rFont val="Times New Roman"/>
        <family val="1"/>
      </rPr>
      <t xml:space="preserve"> = S(1, 2)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- S(3)</t>
    </r>
    <r>
      <rPr>
        <sz val="6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</si>
  <si>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dove il segno meno indica che il verso è opposto a quello dell'asse x;</t>
  </si>
  <si>
    <r>
      <t xml:space="preserve">  S</t>
    </r>
    <r>
      <rPr>
        <sz val="6"/>
        <rFont val="Times New Roman"/>
        <family val="1"/>
      </rPr>
      <t>RR z</t>
    </r>
    <r>
      <rPr>
        <sz val="10"/>
        <rFont val="Times New Roman"/>
        <family val="1"/>
      </rPr>
      <t xml:space="preserve"> = S(3)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- S(1, 2)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</t>
    </r>
  </si>
  <si>
    <t>dove il segno più indica che il verso è lo stesso dell'asse z;</t>
  </si>
  <si>
    <r>
      <t xml:space="preserve">                    </t>
    </r>
    <r>
      <rPr>
        <sz val="10"/>
        <rFont val="Times New Roman"/>
        <family val="1"/>
      </rPr>
      <t>S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 [(S</t>
    </r>
    <r>
      <rPr>
        <sz val="6"/>
        <rFont val="Times New Roman"/>
        <family val="1"/>
      </rPr>
      <t>RR x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+(S</t>
    </r>
    <r>
      <rPr>
        <sz val="6"/>
        <rFont val="Times New Roman"/>
        <family val="1"/>
      </rPr>
      <t>RR z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</si>
  <si>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</si>
  <si>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 h''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>-b+c =</t>
    </r>
  </si>
  <si>
    <t>In definitiva, quindi:</t>
  </si>
  <si>
    <t>Ne consegue che le forze da calcolare saranno:</t>
  </si>
  <si>
    <r>
      <t>a sinistra</t>
    </r>
  </si>
  <si>
    <r>
      <t xml:space="preserve">una spinta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2</t>
    </r>
    <r>
      <rPr>
        <sz val="10"/>
        <rFont val="Times New Roman"/>
        <family val="1"/>
      </rPr>
      <t xml:space="preserve"> dovuta a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sul tratto di altezza (b-c) compreso tra le interfacce con il gas e con il fluido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;</t>
    </r>
  </si>
  <si>
    <r>
      <t>S</t>
    </r>
    <r>
      <rPr>
        <b/>
        <sz val="10"/>
        <rFont val="Times New Roman"/>
        <family val="1"/>
      </rPr>
      <t>M</t>
    </r>
    <r>
      <rPr>
        <b/>
        <sz val="6"/>
        <rFont val="Times New Roman"/>
        <family val="1"/>
      </rPr>
      <t>D</t>
    </r>
    <r>
      <rPr>
        <b/>
        <sz val="10"/>
        <rFont val="Times New Roman"/>
        <family val="1"/>
      </rPr>
      <t xml:space="preserve"> = 0</t>
    </r>
  </si>
  <si>
    <r>
      <t>S b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- R a = 0</t>
    </r>
  </si>
  <si>
    <r>
      <t>R = S b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>/a</t>
    </r>
  </si>
  <si>
    <t>Il calcolo del modulo S avviene alla solita maniera:</t>
  </si>
  <si>
    <t>●</t>
  </si>
  <si>
    <r>
      <t xml:space="preserve">    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h+a/2sen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 xml:space="preserve"> =</t>
    </r>
  </si>
  <si>
    <t>retta di sponda, lungo la linea di massima pendenza della superficie premuta.</t>
  </si>
  <si>
    <r>
      <t xml:space="preserve">       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/sen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 xml:space="preserve"> =</t>
    </r>
  </si>
  <si>
    <t>baricentrale parallelo alla retta di sponda:</t>
  </si>
  <si>
    <t>cui corrisponde:</t>
  </si>
  <si>
    <r>
      <t xml:space="preserve">         x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</si>
  <si>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Ne consegue per b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il valore:</t>
    </r>
  </si>
  <si>
    <t>(H-h)/2</t>
  </si>
  <si>
    <r>
      <t xml:space="preserve">                           F = [|S</t>
    </r>
    <r>
      <rPr>
        <sz val="6"/>
        <color indexed="16"/>
        <rFont val="Times New Roman"/>
        <family val="1"/>
      </rPr>
      <t xml:space="preserve">g </t>
    </r>
    <r>
      <rPr>
        <sz val="10"/>
        <color indexed="16"/>
        <rFont val="Times New Roman"/>
        <family val="1"/>
      </rPr>
      <t>|*b</t>
    </r>
    <r>
      <rPr>
        <sz val="6"/>
        <color indexed="16"/>
        <rFont val="Times New Roman"/>
        <family val="1"/>
      </rPr>
      <t>g</t>
    </r>
    <r>
      <rPr>
        <sz val="10"/>
        <color indexed="16"/>
        <rFont val="Times New Roman"/>
        <family val="1"/>
      </rPr>
      <t>+|S</t>
    </r>
    <r>
      <rPr>
        <sz val="6"/>
        <color indexed="16"/>
        <rFont val="Times New Roman"/>
        <family val="1"/>
      </rPr>
      <t xml:space="preserve">1 </t>
    </r>
    <r>
      <rPr>
        <sz val="10"/>
        <color indexed="16"/>
        <rFont val="Times New Roman"/>
        <family val="1"/>
      </rPr>
      <t>|*b</t>
    </r>
    <r>
      <rPr>
        <sz val="6"/>
        <color indexed="16"/>
        <rFont val="Times New Roman"/>
        <family val="1"/>
      </rPr>
      <t>S1</t>
    </r>
    <r>
      <rPr>
        <sz val="10"/>
        <color indexed="16"/>
        <rFont val="Times New Roman"/>
        <family val="1"/>
      </rPr>
      <t>]/h</t>
    </r>
    <r>
      <rPr>
        <sz val="6"/>
        <color indexed="16"/>
        <rFont val="Times New Roman"/>
        <family val="1"/>
      </rPr>
      <t>1</t>
    </r>
    <r>
      <rPr>
        <sz val="10"/>
        <color indexed="16"/>
        <rFont val="Times New Roman"/>
        <family val="1"/>
      </rPr>
      <t xml:space="preserve"> =</t>
    </r>
  </si>
  <si>
    <r>
      <t xml:space="preserve">G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= 0</t>
    </r>
  </si>
  <si>
    <r>
      <t xml:space="preserve">S = -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</t>
    </r>
  </si>
  <si>
    <t>L'equazione (scalare) da scrivere è la seguente:</t>
  </si>
  <si>
    <r>
      <t xml:space="preserve">Determinare </t>
    </r>
    <r>
      <rPr>
        <sz val="10"/>
        <rFont val="Times New Roman"/>
        <family val="1"/>
      </rPr>
      <t xml:space="preserve">la portata circolante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il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 nel serbatoio di valle. </t>
    </r>
  </si>
  <si>
    <r>
      <t>d</t>
    </r>
    <r>
      <rPr>
        <sz val="10"/>
        <rFont val="t"/>
        <family val="0"/>
      </rPr>
      <t xml:space="preserve"> = </t>
    </r>
    <r>
      <rPr>
        <sz val="10"/>
        <rFont val="Symbol"/>
        <family val="1"/>
      </rPr>
      <t>D</t>
    </r>
    <r>
      <rPr>
        <sz val="10"/>
        <rFont val="Arial"/>
        <family val="0"/>
      </rPr>
      <t>*(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</t>
    </r>
    <r>
      <rPr>
        <sz val="10"/>
        <rFont val="Times New Roman"/>
        <family val="1"/>
      </rPr>
      <t>[Z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]-[Z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 =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/(2*g)*[1/A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-(1/A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</si>
  <si>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Q = radq{[2*g/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</t>
    </r>
    <r>
      <rPr>
        <sz val="10"/>
        <rFont val="Arial"/>
        <family val="0"/>
      </rPr>
      <t>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]/[1/A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-(1/A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]} =</t>
    </r>
  </si>
  <si>
    <t>Equazione dell'efflusso sotto battente.</t>
  </si>
  <si>
    <r>
      <t xml:space="preserve">           Q =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/4)radq[2*g*H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]</t>
    </r>
  </si>
  <si>
    <t>da cui:</t>
  </si>
  <si>
    <r>
      <t xml:space="preserve">     H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/{[</t>
    </r>
    <r>
      <rPr>
        <sz val="10"/>
        <rFont val="Symbol"/>
        <family val="1"/>
      </rPr>
      <t>m</t>
    </r>
    <r>
      <rPr>
        <vertAlign val="superscript"/>
        <sz val="10"/>
        <rFont val="Symbol"/>
        <family val="1"/>
      </rPr>
      <t>2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*2*g]} =</t>
    </r>
  </si>
  <si>
    <r>
      <t xml:space="preserve">   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[H-h]/2 + h =</t>
    </r>
  </si>
  <si>
    <r>
      <t xml:space="preserve">                   b</t>
    </r>
    <r>
      <rPr>
        <vertAlign val="superscript"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S</t>
    </r>
    <r>
      <rPr>
        <vertAlign val="subscript"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*b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+ S</t>
    </r>
    <r>
      <rPr>
        <sz val="6"/>
        <rFont val="Symbol"/>
        <family val="1"/>
      </rPr>
      <t>g</t>
    </r>
    <r>
      <rPr>
        <sz val="10"/>
        <rFont val="Times New Roman"/>
        <family val="1"/>
      </rPr>
      <t>*b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10"/>
        <rFont val="Times New Roman"/>
        <family val="1"/>
      </rPr>
      <t>]/S</t>
    </r>
    <r>
      <rPr>
        <sz val="6"/>
        <rFont val="Times New Roman"/>
        <family val="1"/>
      </rPr>
      <t>PQ</t>
    </r>
    <r>
      <rPr>
        <sz val="10"/>
        <rFont val="Times New Roman"/>
        <family val="1"/>
      </rPr>
      <t xml:space="preserve"> =</t>
    </r>
  </si>
  <si>
    <t>Moltiplicando la pressione all'interfaccia per area della superficie premuta si ottengono immediatamente</t>
  </si>
  <si>
    <r>
      <t>p</t>
    </r>
    <r>
      <rPr>
        <sz val="6"/>
        <color indexed="16"/>
        <rFont val="Times New Roman"/>
        <family val="1"/>
      </rPr>
      <t>M</t>
    </r>
    <r>
      <rPr>
        <sz val="10"/>
        <color indexed="16"/>
        <rFont val="Times New Roman"/>
        <family val="1"/>
      </rPr>
      <t xml:space="preserve"> = p</t>
    </r>
    <r>
      <rPr>
        <sz val="6"/>
        <color indexed="16"/>
        <rFont val="Times New Roman"/>
        <family val="1"/>
      </rPr>
      <t>T</t>
    </r>
    <r>
      <rPr>
        <sz val="10"/>
        <color indexed="16"/>
        <rFont val="Times New Roman"/>
        <family val="1"/>
      </rPr>
      <t>-</t>
    </r>
    <r>
      <rPr>
        <sz val="10"/>
        <color indexed="16"/>
        <rFont val="Symbol"/>
        <family val="1"/>
      </rPr>
      <t>g</t>
    </r>
    <r>
      <rPr>
        <sz val="6"/>
        <color indexed="16"/>
        <rFont val="Times New Roman"/>
        <family val="1"/>
      </rPr>
      <t>1</t>
    </r>
    <r>
      <rPr>
        <sz val="10"/>
        <color indexed="16"/>
        <rFont val="Times New Roman"/>
        <family val="1"/>
      </rPr>
      <t>*h</t>
    </r>
    <r>
      <rPr>
        <sz val="6"/>
        <color indexed="16"/>
        <rFont val="Times New Roman"/>
        <family val="1"/>
      </rPr>
      <t>1</t>
    </r>
    <r>
      <rPr>
        <sz val="10"/>
        <color indexed="16"/>
        <rFont val="Times New Roman"/>
        <family val="1"/>
      </rPr>
      <t xml:space="preserve"> =</t>
    </r>
  </si>
  <si>
    <r>
      <t>A</t>
    </r>
    <r>
      <rPr>
        <sz val="6"/>
        <color indexed="16"/>
        <rFont val="Times New Roman"/>
        <family val="1"/>
      </rPr>
      <t>g</t>
    </r>
    <r>
      <rPr>
        <sz val="10"/>
        <color indexed="16"/>
        <rFont val="Times New Roman"/>
        <family val="1"/>
      </rPr>
      <t xml:space="preserve"> = </t>
    </r>
    <r>
      <rPr>
        <i/>
        <sz val="10"/>
        <color indexed="16"/>
        <rFont val="Times New Roman"/>
        <family val="1"/>
      </rPr>
      <t>l</t>
    </r>
    <r>
      <rPr>
        <sz val="10"/>
        <color indexed="16"/>
        <rFont val="Times New Roman"/>
        <family val="1"/>
      </rPr>
      <t>*L</t>
    </r>
    <r>
      <rPr>
        <sz val="10"/>
        <color indexed="16"/>
        <rFont val="Arial"/>
        <family val="0"/>
      </rPr>
      <t xml:space="preserve"> =</t>
    </r>
  </si>
  <si>
    <r>
      <t>S</t>
    </r>
    <r>
      <rPr>
        <sz val="6"/>
        <color indexed="16"/>
        <rFont val="Times New Roman"/>
        <family val="1"/>
      </rPr>
      <t>g</t>
    </r>
    <r>
      <rPr>
        <sz val="10"/>
        <color indexed="16"/>
        <rFont val="Times New Roman"/>
        <family val="1"/>
      </rPr>
      <t xml:space="preserve"> = p</t>
    </r>
    <r>
      <rPr>
        <sz val="6"/>
        <color indexed="16"/>
        <rFont val="Times New Roman"/>
        <family val="1"/>
      </rPr>
      <t>M</t>
    </r>
    <r>
      <rPr>
        <sz val="10"/>
        <color indexed="16"/>
        <rFont val="Times New Roman"/>
        <family val="1"/>
      </rPr>
      <t>*A</t>
    </r>
    <r>
      <rPr>
        <sz val="6"/>
        <color indexed="16"/>
        <rFont val="Times New Roman"/>
        <family val="1"/>
      </rPr>
      <t>g</t>
    </r>
    <r>
      <rPr>
        <sz val="10"/>
        <color indexed="16"/>
        <rFont val="Times New Roman"/>
        <family val="1"/>
      </rPr>
      <t xml:space="preserve"> =</t>
    </r>
  </si>
  <si>
    <t>con</t>
  </si>
  <si>
    <r>
      <t xml:space="preserve">La determinazione del  verso della forza </t>
    </r>
    <r>
      <rPr>
        <b/>
        <sz val="10"/>
        <color indexed="12"/>
        <rFont val="Times New Roman"/>
        <family val="1"/>
      </rPr>
      <t>F</t>
    </r>
    <r>
      <rPr>
        <i/>
        <sz val="10"/>
        <color indexed="12"/>
        <rFont val="Times New Roman"/>
        <family val="1"/>
      </rPr>
      <t xml:space="preserve"> è immediato notando che giacchè i momenti delle spinte sopra</t>
    </r>
  </si>
  <si>
    <r>
      <t xml:space="preserve">calcolate sono tutti antiorari, il momento dell'incognita </t>
    </r>
    <r>
      <rPr>
        <b/>
        <sz val="10"/>
        <color indexed="12"/>
        <rFont val="Times New Roman"/>
        <family val="1"/>
      </rPr>
      <t>F</t>
    </r>
    <r>
      <rPr>
        <i/>
        <sz val="10"/>
        <color indexed="12"/>
        <rFont val="Times New Roman"/>
        <family val="1"/>
      </rPr>
      <t xml:space="preserve"> dovrà essere orario. Inoltre, grazie alla seconda</t>
    </r>
  </si>
  <si>
    <t>equazione cardinale della statica si deduce il modulo</t>
  </si>
  <si>
    <r>
      <t xml:space="preserve">Determinare </t>
    </r>
    <r>
      <rPr>
        <sz val="10"/>
        <rFont val="Times New Roman"/>
        <family val="1"/>
      </rPr>
      <t xml:space="preserve">il modulo ed il verso della forza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affinchè il sistema sia in equilibrio.</t>
    </r>
  </si>
  <si>
    <r>
      <t xml:space="preserve">A questo punto si hanno tutte le informazioni necessarie al calcolo della coppia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</t>
    </r>
  </si>
  <si>
    <r>
      <t xml:space="preserve">        x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/cos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=</t>
    </r>
  </si>
  <si>
    <r>
      <t xml:space="preserve">Poiché il momento dovuto al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tende a far ruotare l'otturatore in senso antiorario, per l'equilibrio la coppia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dovrà avere verso orario.</t>
    </r>
  </si>
  <si>
    <r>
      <t>Determinare</t>
    </r>
    <r>
      <rPr>
        <sz val="10"/>
        <rFont val="Times New Roman"/>
        <family val="1"/>
      </rPr>
      <t xml:space="preserve"> le componenti delle spinte sulle due calotte cilindriche usando il </t>
    </r>
    <r>
      <rPr>
        <i/>
        <sz val="10"/>
        <rFont val="Times New Roman"/>
        <family val="1"/>
      </rPr>
      <t>metodo dell'equilibrio globale</t>
    </r>
    <r>
      <rPr>
        <sz val="10"/>
        <rFont val="Times New Roman"/>
        <family val="1"/>
      </rPr>
      <t xml:space="preserve"> e quello </t>
    </r>
    <r>
      <rPr>
        <i/>
        <sz val="10"/>
        <rFont val="Times New Roman"/>
        <family val="1"/>
      </rPr>
      <t>delle componenti</t>
    </r>
    <r>
      <rPr>
        <sz val="10"/>
        <rFont val="Times New Roman"/>
        <family val="1"/>
      </rPr>
      <t xml:space="preserve">. </t>
    </r>
  </si>
  <si>
    <r>
      <t xml:space="preserve">Prima di ogni altra cosa è necessario individuare la posizione del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Essa può essere ricercata a partire dalla pressione presente </t>
    </r>
  </si>
  <si>
    <t>Nota questa informazione è possibile conoscere la pressione in ogni punto del sistema e quindi ricavare agevolmente le spinte sulle calotte.</t>
  </si>
  <si>
    <t>Metodo dell'equilibrio globale applicato alla calotta 1</t>
  </si>
  <si>
    <r>
      <t xml:space="preserve">      W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1/2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L =</t>
    </r>
  </si>
  <si>
    <r>
      <t xml:space="preserve">                 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</si>
  <si>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Q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 xml:space="preserve"> = A*radq{2*g*(Z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)/[0.5+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*L/D+1]} =</t>
    </r>
  </si>
  <si>
    <r>
      <t>Re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 xml:space="preserve"> =4*Q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*D) = </t>
    </r>
  </si>
  <si>
    <r>
      <t>A'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 xml:space="preserve"> = R L =</t>
    </r>
  </si>
  <si>
    <t>●  pressione dell'aria:</t>
  </si>
  <si>
    <r>
      <t>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 </t>
    </r>
  </si>
  <si>
    <r>
      <t>●  componente S</t>
    </r>
    <r>
      <rPr>
        <sz val="6"/>
        <rFont val="Times New Roman"/>
        <family val="1"/>
      </rPr>
      <t>AB x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AB</t>
    </r>
    <r>
      <rPr>
        <sz val="10"/>
        <rFont val="Times New Roman"/>
        <family val="1"/>
      </rPr>
      <t>:</t>
    </r>
  </si>
  <si>
    <r>
      <t>La componente verticale S</t>
    </r>
    <r>
      <rPr>
        <sz val="6"/>
        <rFont val="Times New Roman"/>
        <family val="1"/>
      </rPr>
      <t>AB z</t>
    </r>
    <r>
      <rPr>
        <sz val="10"/>
        <rFont val="Times New Roman"/>
        <family val="1"/>
      </rPr>
      <t xml:space="preserve"> corrisponde al peso del volume fluido immaginato compreso tra la calotta ed il PCI del fluido.</t>
    </r>
  </si>
  <si>
    <r>
      <t>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 xml:space="preserve">g </t>
    </r>
    <r>
      <rPr>
        <sz val="10"/>
        <rFont val="Times New Roman"/>
        <family val="1"/>
      </rPr>
      <t xml:space="preserve">[1/3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/4 h +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>]</t>
    </r>
  </si>
  <si>
    <r>
      <t xml:space="preserve">      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 xml:space="preserve">z </t>
    </r>
    <r>
      <rPr>
        <sz val="10"/>
        <rFont val="Times New Roman"/>
        <family val="1"/>
      </rPr>
      <t xml:space="preserve">-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1/3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h]/[</t>
    </r>
    <r>
      <rPr>
        <sz val="10"/>
        <rFont val="Symbol"/>
        <family val="1"/>
      </rPr>
      <t>g p</t>
    </r>
    <r>
      <rPr>
        <sz val="10"/>
        <rFont val="Times New Roman"/>
        <family val="1"/>
      </rPr>
      <t xml:space="preserve"> D(h)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/4] =</t>
    </r>
  </si>
  <si>
    <t>Il risultato è lo stesso ottenuto con il metodo dell'equilibrio globale (c. v. d.).</t>
  </si>
  <si>
    <t>Chiaramente, dal disegno è chiaro che:</t>
  </si>
  <si>
    <r>
      <t xml:space="preserve">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n </t>
    </r>
    <r>
      <rPr>
        <sz val="10"/>
        <rFont val="Times New Roman"/>
        <family val="1"/>
      </rPr>
      <t>+ n[Pa]/</t>
    </r>
    <r>
      <rPr>
        <sz val="10"/>
        <rFont val="Symbol"/>
        <family val="1"/>
      </rPr>
      <t>g</t>
    </r>
  </si>
  <si>
    <t>Di seguito sono indicati i passi "classici" per il calcolo del modulo di una spinta e per l'individuazione della sua retta d'azione.</t>
  </si>
  <si>
    <r>
      <t>A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 h L =</t>
    </r>
  </si>
  <si>
    <r>
      <t>p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=</t>
    </r>
  </si>
  <si>
    <r>
      <t xml:space="preserve">     h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= h/2 =</t>
    </r>
  </si>
  <si>
    <r>
      <t>modulo S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RR</t>
    </r>
    <r>
      <rPr>
        <sz val="10"/>
        <rFont val="Times New Roman"/>
        <family val="1"/>
      </rPr>
      <t>:</t>
    </r>
  </si>
  <si>
    <r>
      <t xml:space="preserve">L'intersezione della retta d'azione del risultante con la superficie premuta viene indicata come </t>
    </r>
    <r>
      <rPr>
        <i/>
        <sz val="10"/>
        <rFont val="Times New Roman"/>
        <family val="1"/>
      </rPr>
      <t>centro di spinta</t>
    </r>
    <r>
      <rPr>
        <sz val="10"/>
        <rFont val="Times New Roman"/>
        <family val="1"/>
      </rPr>
      <t>.</t>
    </r>
  </si>
  <si>
    <t>Importante</t>
  </si>
  <si>
    <r>
      <t xml:space="preserve">         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</si>
  <si>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Il pistone di diametro 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resta fermo perché la spinta orizzontale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equilibrata dalla forza orizzontale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avente il verso dell'asse x ed modulo:</t>
    </r>
  </si>
  <si>
    <r>
      <t>F =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</si>
  <si>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</si>
  <si>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Q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C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/4)*[2*g*h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</si>
  <si>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t>Determinazione della portata transitante Q</t>
  </si>
  <si>
    <r>
      <t>Applicando l'</t>
    </r>
    <r>
      <rPr>
        <i/>
        <sz val="10"/>
        <rFont val="Times New Roman"/>
        <family val="1"/>
      </rPr>
      <t>equazione di continuità</t>
    </r>
    <r>
      <rPr>
        <sz val="10"/>
        <rFont val="Times New Roman"/>
        <family val="1"/>
      </rPr>
      <t xml:space="preserve"> al serbatoio intermedio si evince immediatamente che:</t>
    </r>
  </si>
  <si>
    <r>
      <t xml:space="preserve">                          Q =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-Q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-Q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+Q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</si>
  <si>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t>Determinazione della potenza ottenibile dalla turbina</t>
  </si>
  <si>
    <r>
      <t xml:space="preserve">Per prima cosa, analogamente a quanto fatto nel caso della pompa, occorre calcolare il </t>
    </r>
    <r>
      <rPr>
        <i/>
        <sz val="10"/>
        <rFont val="Times New Roman"/>
        <family val="1"/>
      </rPr>
      <t>salto utile</t>
    </r>
    <r>
      <rPr>
        <sz val="10"/>
        <rFont val="Times New Roman"/>
        <family val="1"/>
      </rPr>
      <t xml:space="preserve"> della turbina fruendo dell'equazione </t>
    </r>
  </si>
  <si>
    <r>
      <t xml:space="preserve">del moto tra i serbatoi attraverso i quali circola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.</t>
    </r>
  </si>
  <si>
    <r>
      <t xml:space="preserve">Determinare </t>
    </r>
    <r>
      <rPr>
        <sz val="10"/>
        <rFont val="Times New Roman"/>
        <family val="1"/>
      </rPr>
      <t xml:space="preserve">il livello di monte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 e</t>
    </r>
    <r>
      <rPr>
        <b/>
        <sz val="10"/>
        <rFont val="Times New Roman"/>
        <family val="1"/>
      </rPr>
      <t xml:space="preserve"> verificare </t>
    </r>
    <r>
      <rPr>
        <sz val="10"/>
        <rFont val="Times New Roman"/>
        <family val="1"/>
      </rPr>
      <t xml:space="preserve">la pressione all'imbocco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L.C.T. e la L.P.</t>
    </r>
  </si>
  <si>
    <t xml:space="preserve">Si procede comunque con un'altra iterazione per portare a  </t>
  </si>
  <si>
    <r>
      <t xml:space="preserve">convergenza anche i </t>
    </r>
    <r>
      <rPr>
        <i/>
        <sz val="10"/>
        <rFont val="Times New Roman"/>
        <family val="1"/>
      </rPr>
      <t>numeri di Reynolds</t>
    </r>
    <r>
      <rPr>
        <sz val="10"/>
        <rFont val="Times New Roman"/>
        <family val="1"/>
      </rPr>
      <t>.</t>
    </r>
  </si>
  <si>
    <t>Iterazione 3</t>
  </si>
  <si>
    <r>
      <t>l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00</t>
    </r>
    <r>
      <rPr>
        <sz val="10"/>
        <rFont val="Times New Roman"/>
        <family val="1"/>
      </rPr>
      <t>*{1+8/[Re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/D]} =</t>
    </r>
  </si>
  <si>
    <r>
      <t>Q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 xml:space="preserve"> = A*radq{2*g*(Z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)/[0.5+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*L/D+1]} =</t>
    </r>
  </si>
  <si>
    <r>
      <t>Re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 xml:space="preserve"> =4*Q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*D) =</t>
    </r>
    <r>
      <rPr>
        <sz val="10"/>
        <rFont val="Arial"/>
        <family val="0"/>
      </rPr>
      <t xml:space="preserve"> </t>
    </r>
  </si>
  <si>
    <r>
      <t>Q</t>
    </r>
    <r>
      <rPr>
        <i/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Q</t>
    </r>
    <r>
      <rPr>
        <i/>
        <vertAlign val="superscript"/>
        <sz val="10"/>
        <rFont val="Times New Roman"/>
        <family val="1"/>
      </rPr>
      <t>(III)</t>
    </r>
  </si>
  <si>
    <t>centro di spinta. Quest'ultimo, quindi, rispetto alla retta di sponda si troverà alla</t>
  </si>
  <si>
    <t>distanza:</t>
  </si>
  <si>
    <r>
      <t xml:space="preserve">     x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 xml:space="preserve">G RR </t>
    </r>
    <r>
      <rPr>
        <sz val="10"/>
        <rFont val="Times New Roman"/>
        <family val="1"/>
      </rPr>
      <t xml:space="preserve">+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 RR</t>
    </r>
    <r>
      <rPr>
        <sz val="10"/>
        <rFont val="Times New Roman"/>
        <family val="1"/>
      </rPr>
      <t xml:space="preserve"> =</t>
    </r>
  </si>
  <si>
    <t>misurata lungo la linea di massima pendenza.</t>
  </si>
  <si>
    <r>
      <t>Determinazione delle portate effluenti Q</t>
    </r>
    <r>
      <rPr>
        <i/>
        <u val="single"/>
        <sz val="6"/>
        <rFont val="Times New Roman"/>
        <family val="1"/>
      </rPr>
      <t>2</t>
    </r>
    <r>
      <rPr>
        <i/>
        <u val="single"/>
        <sz val="10"/>
        <rFont val="Times New Roman"/>
        <family val="1"/>
      </rPr>
      <t xml:space="preserve"> e Q</t>
    </r>
    <r>
      <rPr>
        <i/>
        <u val="single"/>
        <sz val="6"/>
        <rFont val="Times New Roman"/>
        <family val="1"/>
      </rPr>
      <t>3</t>
    </r>
    <r>
      <rPr>
        <i/>
        <u val="single"/>
        <sz val="10"/>
        <rFont val="Times New Roman"/>
        <family val="1"/>
      </rPr>
      <t xml:space="preserve"> tramite equazioni di efflusso sotto battente</t>
    </r>
  </si>
  <si>
    <r>
      <t xml:space="preserve">La determinazione delle portate effluenti richiede la preventiva conoscenza dei </t>
    </r>
    <r>
      <rPr>
        <i/>
        <sz val="10"/>
        <rFont val="Times New Roman"/>
        <family val="1"/>
      </rPr>
      <t>battenti</t>
    </r>
    <r>
      <rPr>
        <sz val="10"/>
        <rFont val="Times New Roman"/>
        <family val="1"/>
      </rPr>
      <t xml:space="preserve"> sulle luci d'efflusso. Detti </t>
    </r>
  </si>
  <si>
    <t>battenti risultano noti se, preventivamente, si procede al calcolo della quota del piano dei carichi idrostatici del</t>
  </si>
  <si>
    <t>serbatoio di valle. Questa è, dunque, la prima operazione da eseguire.</t>
  </si>
  <si>
    <t>Noto, grazie all'indicazione manometrica, che.</t>
  </si>
  <si>
    <r>
      <t xml:space="preserve">          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= n[Pa]/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=</t>
    </r>
  </si>
  <si>
    <t>e posto:</t>
  </si>
  <si>
    <r>
      <t xml:space="preserve">           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</si>
  <si>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 xml:space="preserve">m       </t>
  </si>
  <si>
    <t>.</t>
  </si>
  <si>
    <t>ne derivano i seguenti battenti</t>
  </si>
  <si>
    <r>
      <t>battente sulla luce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  <r>
      <rPr>
        <i/>
        <sz val="10"/>
        <rFont val="Times New Roman"/>
        <family val="1"/>
      </rPr>
      <t>D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"</t>
    </r>
  </si>
  <si>
    <r>
      <t xml:space="preserve">       h(D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-Z(D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</si>
  <si>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t>battente sulla luce "d"</t>
  </si>
  <si>
    <r>
      <t xml:space="preserve">          h(d)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-Z(d) =</t>
    </r>
  </si>
  <si>
    <t>Le luci di efflusso hanno area pari a:</t>
  </si>
  <si>
    <r>
      <t xml:space="preserve">        A(D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)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</si>
  <si>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            A(d)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</si>
  <si>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Ne conseguono le portate:</t>
  </si>
  <si>
    <r>
      <t xml:space="preserve">            Q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)*A(D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)*radq[2*g*h(D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)] =</t>
    </r>
  </si>
  <si>
    <r>
      <t xml:space="preserve">            Q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(d)*A(d)*radq[2*g*h(d)] =</t>
    </r>
  </si>
  <si>
    <r>
      <t>Determinazione della portata circolante Q</t>
    </r>
    <r>
      <rPr>
        <i/>
        <u val="single"/>
        <sz val="6"/>
        <rFont val="Times New Roman"/>
        <family val="1"/>
      </rPr>
      <t>1</t>
    </r>
    <r>
      <rPr>
        <i/>
        <u val="single"/>
        <sz val="10"/>
        <rFont val="Times New Roman"/>
        <family val="1"/>
      </rPr>
      <t xml:space="preserve"> tramite l'equazione di continuità applicata, in condizioni di moto </t>
    </r>
  </si>
  <si>
    <t>permanente, al serbatoio di valle</t>
  </si>
  <si>
    <r>
      <t xml:space="preserve">             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+Q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</si>
  <si>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Determinazione del livello Z</t>
    </r>
    <r>
      <rPr>
        <i/>
        <u val="single"/>
        <sz val="6"/>
        <rFont val="Times New Roman"/>
        <family val="1"/>
      </rPr>
      <t>m</t>
    </r>
    <r>
      <rPr>
        <i/>
        <u val="single"/>
        <sz val="10"/>
        <rFont val="Times New Roman"/>
        <family val="1"/>
      </rPr>
      <t xml:space="preserve"> nel serbatoio di monte </t>
    </r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</si>
  <si>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>-J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H</t>
    </r>
    <r>
      <rPr>
        <b/>
        <sz val="6"/>
        <rFont val="Times New Roman"/>
        <family val="1"/>
      </rPr>
      <t>A</t>
    </r>
  </si>
  <si>
    <r>
      <t>J = 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/D)*V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/(2*g) </t>
    </r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</si>
  <si>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{2,51/[Re*radq(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/D)/3,71]}</t>
    </r>
  </si>
  <si>
    <r>
      <t xml:space="preserve">Equazione del moto per una corrente che "va" dalla sezione 1 alla sezione 2; incognite: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>, J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(cioè: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: è la</t>
    </r>
  </si>
  <si>
    <t>stessa cosa).</t>
  </si>
  <si>
    <r>
      <t xml:space="preserve">            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</si>
  <si>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>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Q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</si>
  <si>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Viene calcolato il </t>
    </r>
    <r>
      <rPr>
        <i/>
        <sz val="10"/>
        <rFont val="Times New Roman"/>
        <family val="1"/>
      </rPr>
      <t>numero di Reynolds</t>
    </r>
    <r>
      <rPr>
        <sz val="10"/>
        <rFont val="Times New Roman"/>
        <family val="1"/>
      </rPr>
      <t xml:space="preserve"> e la scabrezza relativa, servirà per ricavare il </t>
    </r>
    <r>
      <rPr>
        <i/>
        <sz val="10"/>
        <rFont val="Times New Roman"/>
        <family val="1"/>
      </rPr>
      <t xml:space="preserve">coefficiente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</si>
  <si>
    <r>
      <t xml:space="preserve"> analititicamente o, per via grafica, mediante l'</t>
    </r>
    <r>
      <rPr>
        <i/>
        <sz val="10"/>
        <rFont val="Times New Roman"/>
        <family val="1"/>
      </rPr>
      <t>abaco di Moody.</t>
    </r>
  </si>
  <si>
    <r>
      <t xml:space="preserve">  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</si>
  <si>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Symbol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</si>
  <si>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Dall'esame sull'</t>
    </r>
    <r>
      <rPr>
        <i/>
        <sz val="10"/>
        <rFont val="Times New Roman"/>
        <family val="1"/>
      </rPr>
      <t>abaco di Moody,</t>
    </r>
    <r>
      <rPr>
        <sz val="10"/>
        <rFont val="Times New Roman"/>
        <family val="1"/>
      </rPr>
      <t xml:space="preserve"> il moto risulta puramente (assolutamente) turbolento. Ciò significa che è possibile </t>
    </r>
  </si>
  <si>
    <r>
      <t xml:space="preserve">prescindere dalla formula, implicita in </t>
    </r>
    <r>
      <rPr>
        <i/>
        <sz val="10"/>
        <rFont val="Symbol"/>
        <family val="1"/>
      </rPr>
      <t>l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di </t>
    </r>
    <r>
      <rPr>
        <i/>
        <sz val="10"/>
        <rFont val="Times New Roman"/>
        <family val="1"/>
      </rPr>
      <t xml:space="preserve">Colebrook-White </t>
    </r>
    <r>
      <rPr>
        <sz val="10"/>
        <rFont val="Times New Roman"/>
        <family val="1"/>
      </rPr>
      <t xml:space="preserve">ed applicare la più semplice (perché esplicita in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>) formula</t>
    </r>
  </si>
  <si>
    <r>
      <t xml:space="preserve">di </t>
    </r>
    <r>
      <rPr>
        <i/>
        <sz val="10"/>
        <rFont val="Times New Roman"/>
        <family val="1"/>
      </rPr>
      <t xml:space="preserve">Prandtl-Von Kàrmàn </t>
    </r>
    <r>
      <rPr>
        <sz val="10"/>
        <rFont val="Times New Roman"/>
        <family val="1"/>
      </rPr>
      <t>(per chi dispone di un PC, una formula o l'altra non fa differenza; per comodità di impostazione</t>
    </r>
  </si>
  <si>
    <r>
      <t xml:space="preserve">dei calcoli si è qui continuato ad adottare la già implementata formula di </t>
    </r>
    <r>
      <rPr>
        <i/>
        <sz val="10"/>
        <rFont val="Times New Roman"/>
        <family val="1"/>
      </rPr>
      <t>Colebrook-White</t>
    </r>
    <r>
      <rPr>
        <sz val="10"/>
        <rFont val="Times New Roman"/>
        <family val="1"/>
      </rPr>
      <t>).</t>
    </r>
  </si>
  <si>
    <t>Ne risulta la seguenta cadente:</t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</si>
  <si>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</si>
  <si>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</si>
  <si>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</si>
  <si>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 xml:space="preserve">Si dimostra ora che adottando la formula di </t>
    </r>
    <r>
      <rPr>
        <i/>
        <sz val="10"/>
        <rFont val="Times New Roman"/>
        <family val="1"/>
      </rPr>
      <t>Prantl-Von Karman</t>
    </r>
    <r>
      <rPr>
        <sz val="10"/>
        <rFont val="Times New Roman"/>
        <family val="1"/>
      </rPr>
      <t xml:space="preserve"> si ottengono risultati sostanzialmente identici.</t>
    </r>
  </si>
  <si>
    <r>
      <t>1/radq(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/D)/3,71]}</t>
    </r>
  </si>
  <si>
    <t>è esplicitabile come:</t>
  </si>
  <si>
    <r>
      <t>l</t>
    </r>
    <r>
      <rPr>
        <b/>
        <sz val="10"/>
        <rFont val="Times New Roman"/>
        <family val="1"/>
      </rPr>
      <t xml:space="preserve"> = {-2*log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{(</t>
    </r>
    <r>
      <rPr>
        <b/>
        <sz val="10"/>
        <rFont val="Symbol"/>
        <family val="1"/>
      </rPr>
      <t>e</t>
    </r>
    <r>
      <rPr>
        <b/>
        <sz val="10"/>
        <rFont val="Times New Roman"/>
        <family val="1"/>
      </rPr>
      <t>/D)/3.71}}</t>
    </r>
    <r>
      <rPr>
        <b/>
        <vertAlign val="superscript"/>
        <sz val="10"/>
        <rFont val="Times New Roman"/>
        <family val="1"/>
      </rPr>
      <t>-2</t>
    </r>
  </si>
  <si>
    <r>
      <t xml:space="preserve">     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</si>
  <si>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Le perdite di carico, distribuite e concentrate, valgono:</t>
  </si>
  <si>
    <t>Ne consegue il risultato:</t>
  </si>
  <si>
    <r>
      <t xml:space="preserve">        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</si>
  <si>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t>La differenza tra i due risultati è dello</t>
  </si>
  <si>
    <t>Esercizio 41</t>
  </si>
  <si>
    <r>
      <t>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</si>
  <si>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Symbol"/>
        <family val="1"/>
      </rPr>
      <t>1.1</t>
    </r>
    <r>
      <rPr>
        <sz val="10"/>
        <rFont val="Symbol"/>
        <family val="1"/>
      </rPr>
      <t xml:space="preserve"> =</t>
    </r>
  </si>
  <si>
    <r>
      <t>e</t>
    </r>
    <r>
      <rPr>
        <sz val="6"/>
        <rFont val="Symbol"/>
        <family val="1"/>
      </rPr>
      <t>1.2</t>
    </r>
    <r>
      <rPr>
        <sz val="10"/>
        <rFont val="Symbol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</si>
  <si>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livello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 nel serbatoio di monte.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la </t>
    </r>
    <r>
      <rPr>
        <i/>
        <sz val="10"/>
        <rFont val="Times New Roman"/>
        <family val="1"/>
      </rPr>
      <t>L.P.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</si>
  <si>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ez</t>
    </r>
    <r>
      <rPr>
        <sz val="10"/>
        <rFont val="Times New Roman"/>
        <family val="1"/>
      </rPr>
      <t xml:space="preserve"> ha verso concorde con quello dell'asse </t>
    </r>
    <r>
      <rPr>
        <i/>
        <sz val="10"/>
        <rFont val="Times New Roman"/>
        <family val="1"/>
      </rPr>
      <t>z</t>
    </r>
    <r>
      <rPr>
        <sz val="10"/>
        <rFont val="Times New Roman"/>
        <family val="1"/>
      </rPr>
      <t xml:space="preserve">. </t>
    </r>
  </si>
  <si>
    <r>
      <t>S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>e 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>e z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</si>
  <si>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             x</t>
    </r>
    <r>
      <rPr>
        <sz val="6"/>
        <rFont val="Times New Roman"/>
        <family val="1"/>
      </rPr>
      <t>0 RR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>/M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</t>
    </r>
  </si>
  <si>
    <r>
      <t>Il rapporto tra I</t>
    </r>
    <r>
      <rPr>
        <sz val="6"/>
        <rFont val="Times New Roman"/>
        <family val="1"/>
      </rPr>
      <t>G RR</t>
    </r>
    <r>
      <rPr>
        <sz val="10"/>
        <rFont val="Times New Roman"/>
        <family val="1"/>
      </rPr>
      <t xml:space="preserve"> e M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consente di conoscere la distanza che intercorre, lungo</t>
    </r>
  </si>
  <si>
    <r>
      <t>Determinare</t>
    </r>
    <r>
      <rPr>
        <sz val="10"/>
        <rFont val="Times New Roman"/>
        <family val="1"/>
      </rPr>
      <t xml:space="preserve"> le componenti della spinta sulla superficie semisferica di traccia </t>
    </r>
    <r>
      <rPr>
        <b/>
        <sz val="10"/>
        <rFont val="Times New Roman"/>
        <family val="1"/>
      </rPr>
      <t>BB</t>
    </r>
    <r>
      <rPr>
        <sz val="10"/>
        <rFont val="Times New Roman"/>
        <family val="1"/>
      </rPr>
      <t xml:space="preserve"> secondo i due sistemi di riferimento assegnati. </t>
    </r>
  </si>
  <si>
    <t>Esercizio 21</t>
  </si>
  <si>
    <r>
      <t>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G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(1, 2) = 0</t>
    </r>
  </si>
  <si>
    <r>
      <t xml:space="preserve">S(1, 2) =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(1, 2) </t>
    </r>
  </si>
  <si>
    <r>
      <t>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</si>
  <si>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 xml:space="preserve">I </t>
    </r>
    <r>
      <rPr>
        <sz val="10"/>
        <rFont val="Times New Roman"/>
        <family val="1"/>
      </rPr>
      <t>(1) =</t>
    </r>
  </si>
  <si>
    <r>
      <t>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</si>
  <si>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</si>
  <si>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</si>
  <si>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r>
      <t>S</t>
    </r>
    <r>
      <rPr>
        <sz val="6"/>
        <rFont val="Times New Roman"/>
        <family val="1"/>
      </rPr>
      <t xml:space="preserve">x </t>
    </r>
    <r>
      <rPr>
        <sz val="10"/>
        <rFont val="Times New Roman"/>
        <family val="1"/>
      </rPr>
      <t>(1, 2) =</t>
    </r>
  </si>
  <si>
    <r>
      <t>S</t>
    </r>
    <r>
      <rPr>
        <sz val="6"/>
        <rFont val="Times New Roman"/>
        <family val="1"/>
      </rPr>
      <t xml:space="preserve">z </t>
    </r>
    <r>
      <rPr>
        <sz val="10"/>
        <rFont val="Times New Roman"/>
        <family val="1"/>
      </rPr>
      <t>(1, 2) =</t>
    </r>
  </si>
  <si>
    <r>
      <t>Determinare</t>
    </r>
    <r>
      <rPr>
        <sz val="10"/>
        <rFont val="Times New Roman"/>
        <family val="1"/>
      </rPr>
      <t xml:space="preserve"> la spinta sulla sfera solida. </t>
    </r>
  </si>
  <si>
    <t>Esercizio 22</t>
  </si>
  <si>
    <t>Esercizio 23</t>
  </si>
  <si>
    <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</si>
  <si>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</si>
  <si>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</si>
  <si>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 xml:space="preserve">G(3)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(3)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(3) = 0</t>
    </r>
  </si>
  <si>
    <r>
      <t xml:space="preserve">G(1)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(1) + G(2)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(2)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>(1, 2) = 0</t>
    </r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</si>
  <si>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- Z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 xml:space="preserve"> = J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</t>
    </r>
    <r>
      <rPr>
        <b/>
        <sz val="10"/>
        <rFont val="Times New Roman"/>
        <family val="1"/>
      </rPr>
      <t>Q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*(1/A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-1/A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/(2*g)+J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*L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3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</t>
    </r>
  </si>
  <si>
    <r>
      <t xml:space="preserve">Al solito, scriviamo un'equazione del moto per una corrente, di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 che "va" dal serbatoio di monte a</t>
    </r>
  </si>
  <si>
    <r>
      <t xml:space="preserve">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sbo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</si>
  <si>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Borda</t>
    </r>
    <r>
      <rPr>
        <sz val="10"/>
        <rFont val="Times New Roman"/>
        <family val="1"/>
      </rPr>
      <t xml:space="preserve"> = 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</si>
  <si>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+1,16*V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1.1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</t>
    </r>
  </si>
  <si>
    <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</si>
  <si>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+1,16*V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1.2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</t>
    </r>
  </si>
  <si>
    <t>Esercizio 42</t>
  </si>
  <si>
    <r>
      <t>m(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</t>
    </r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</si>
  <si>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>+0.5*V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+m(</t>
    </r>
    <r>
      <rPr>
        <b/>
        <sz val="10"/>
        <rFont val="Symbol"/>
        <family val="1"/>
      </rPr>
      <t>b</t>
    </r>
    <r>
      <rPr>
        <b/>
        <sz val="10"/>
        <rFont val="Times New Roman"/>
        <family val="1"/>
      </rPr>
      <t>)(V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-V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</si>
  <si>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t xml:space="preserve">                               Colebrook-White = 0</t>
  </si>
  <si>
    <r>
      <t xml:space="preserve">                        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l</t>
    </r>
    <r>
      <rPr>
        <sz val="6"/>
        <rFont val="Arial"/>
        <family val="2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</si>
  <si>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                           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div</t>
    </r>
    <r>
      <rPr>
        <sz val="10"/>
        <rFont val="Times New Roman"/>
        <family val="1"/>
      </rPr>
      <t xml:space="preserve"> = m(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</si>
  <si>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+1,16*V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1.1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+m(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</t>
    </r>
  </si>
  <si>
    <r>
      <t xml:space="preserve">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+1,16*V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1.2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+m(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)(V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</t>
    </r>
  </si>
  <si>
    <t>Esercizio 43</t>
  </si>
  <si>
    <r>
      <t>Z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</si>
  <si>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</si>
  <si>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</si>
  <si>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</si>
  <si>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(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sono, ad esempio, vincoli imposti dai Vigili del fuoco</t>
    </r>
    <r>
      <rPr>
        <sz val="10"/>
        <rFont val="Times New Roman"/>
        <family val="1"/>
      </rPr>
      <t>)</t>
    </r>
  </si>
  <si>
    <r>
      <t xml:space="preserve">Determinare </t>
    </r>
    <r>
      <rPr>
        <sz val="10"/>
        <rFont val="Times New Roman"/>
        <family val="1"/>
      </rPr>
      <t xml:space="preserve">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circolante.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la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la </t>
    </r>
    <r>
      <rPr>
        <i/>
        <sz val="10"/>
        <rFont val="Times New Roman"/>
        <family val="1"/>
      </rPr>
      <t>L.P..</t>
    </r>
  </si>
  <si>
    <t>Determinazione dela portata circolante Q</t>
  </si>
  <si>
    <r>
      <t>Z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/(2*g)+J*L</t>
    </r>
  </si>
  <si>
    <r>
      <t>J = (</t>
    </r>
    <r>
      <rPr>
        <b/>
        <sz val="10"/>
        <rFont val="Symbol"/>
        <family val="1"/>
      </rPr>
      <t>l</t>
    </r>
    <r>
      <rPr>
        <b/>
        <sz val="10"/>
        <rFont val="Times New Roman"/>
        <family val="1"/>
      </rPr>
      <t>/D)*V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</si>
  <si>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 xml:space="preserve">Equazione del moto per una corrente che "va" dalla sezione 1 alla sezione 2;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J</t>
    </r>
    <r>
      <rPr>
        <sz val="10"/>
        <rFont val="Times New Roman"/>
        <family val="1"/>
      </rPr>
      <t xml:space="preserve"> (cioè: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).</t>
    </r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</si>
  <si>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</si>
  <si>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</si>
  <si>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</si>
  <si>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(b-c) L =</t>
    </r>
  </si>
  <si>
    <t>A = a L =</t>
  </si>
  <si>
    <r>
      <t>I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/64 D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</si>
  <si>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</si>
  <si>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r>
      <t>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</si>
  <si>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b</t>
    </r>
    <r>
      <rPr>
        <sz val="6"/>
        <color indexed="16"/>
        <rFont val="Times New Roman"/>
        <family val="1"/>
      </rPr>
      <t>g</t>
    </r>
    <r>
      <rPr>
        <sz val="10"/>
        <color indexed="16"/>
        <rFont val="Times New Roman"/>
        <family val="1"/>
      </rPr>
      <t xml:space="preserve"> = </t>
    </r>
    <r>
      <rPr>
        <i/>
        <sz val="10"/>
        <color indexed="16"/>
        <rFont val="Times New Roman"/>
        <family val="1"/>
      </rPr>
      <t>l</t>
    </r>
    <r>
      <rPr>
        <sz val="10"/>
        <color indexed="16"/>
        <rFont val="Times New Roman"/>
        <family val="1"/>
      </rPr>
      <t>/2+h</t>
    </r>
    <r>
      <rPr>
        <sz val="6"/>
        <color indexed="16"/>
        <rFont val="Times New Roman"/>
        <family val="1"/>
      </rPr>
      <t>1</t>
    </r>
    <r>
      <rPr>
        <sz val="10"/>
        <color indexed="16"/>
        <rFont val="Times New Roman"/>
        <family val="1"/>
      </rPr>
      <t>/tg</t>
    </r>
    <r>
      <rPr>
        <sz val="10"/>
        <color indexed="16"/>
        <rFont val="Symbol"/>
        <family val="1"/>
      </rPr>
      <t>b</t>
    </r>
    <r>
      <rPr>
        <sz val="10"/>
        <color indexed="16"/>
        <rFont val="Arial"/>
        <family val="0"/>
      </rPr>
      <t xml:space="preserve"> =</t>
    </r>
  </si>
  <si>
    <r>
      <t xml:space="preserve">quello di valle; incognite: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, J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 (oppure,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>: è la stessa cosa)</t>
    </r>
    <r>
      <rPr>
        <i/>
        <sz val="10"/>
        <rFont val="Times New Roman"/>
        <family val="1"/>
      </rPr>
      <t>.</t>
    </r>
  </si>
  <si>
    <r>
      <t>I</t>
    </r>
    <r>
      <rPr>
        <sz val="10"/>
        <rFont val="Times New Roman"/>
        <family val="1"/>
      </rPr>
      <t>n questo caso, però non esistono manometri differenziali o altri indicatori di pressione o di livello che permettano</t>
    </r>
  </si>
  <si>
    <r>
      <t xml:space="preserve">di risalire ai valori delle cadenti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, come invece era accaduto per la condotta percorsa da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>.</t>
    </r>
  </si>
  <si>
    <r>
      <t xml:space="preserve">Si ricade quindi nel caso dell'esercizio 46; ovvero, saranno necessarie ipotesi sul tipo di moto che possa stabilirsi </t>
    </r>
  </si>
  <si>
    <r>
      <t xml:space="preserve">nelle condotte </t>
    </r>
    <r>
      <rPr>
        <i/>
        <sz val="10"/>
        <rFont val="Times New Roman"/>
        <family val="1"/>
      </rPr>
      <t>( )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 e ( )</t>
    </r>
    <r>
      <rPr>
        <i/>
        <sz val="6"/>
        <rFont val="Times New Roman"/>
        <family val="1"/>
      </rPr>
      <t>3</t>
    </r>
    <r>
      <rPr>
        <i/>
        <sz val="10"/>
        <rFont val="Times New Roman"/>
        <family val="1"/>
      </rPr>
      <t>.</t>
    </r>
  </si>
  <si>
    <r>
      <t xml:space="preserve">Dette ipotesi, se verificate, condurranno all'esatto valore della portata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; vicersa,</t>
    </r>
    <r>
      <rPr>
        <sz val="10"/>
        <rFont val="Times New Roman"/>
        <family val="1"/>
      </rPr>
      <t xml:space="preserve"> si dovrà procedere secondo</t>
    </r>
  </si>
  <si>
    <t>Per questioni di tempo e spazio le informazioni "vettoriali" vengono riassunte in queste dispense con la freccia posta a fianco del modulo.</t>
  </si>
  <si>
    <t>Una scrittura di questo genere, però, non può dirsi esaustiva e non può essere utilizzata in un esame.</t>
  </si>
  <si>
    <r>
      <t>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</si>
  <si>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r>
      <t>S(D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) =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</t>
    </r>
    <r>
      <rPr>
        <b/>
        <sz val="10"/>
        <rFont val="Times New Roman"/>
        <family val="1"/>
      </rPr>
      <t xml:space="preserve"> </t>
    </r>
  </si>
  <si>
    <r>
      <t>A(D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</si>
  <si>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t>delle pressioni ivi prementi hanno il verso dell'asse z; mentre riguardo al volume compreso tra il PCI e la parte di calotta con convessità verso il</t>
  </si>
  <si>
    <t>basso il verso delle componenti verticali delle pressioni è opposto. Questo significa che bisognerà considerare la differenza di due pesi:</t>
  </si>
  <si>
    <r>
      <t xml:space="preserve">il peso </t>
    </r>
    <r>
      <rPr>
        <b/>
        <sz val="10"/>
        <rFont val="Times New Roman"/>
        <family val="1"/>
      </rPr>
      <t>P</t>
    </r>
    <r>
      <rPr>
        <b/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del volume di fluido W</t>
    </r>
    <r>
      <rPr>
        <sz val="6"/>
        <rFont val="Times New Roman"/>
        <family val="1"/>
      </rPr>
      <t>1 sopra</t>
    </r>
    <r>
      <rPr>
        <sz val="10"/>
        <rFont val="Times New Roman"/>
        <family val="1"/>
      </rPr>
      <t xml:space="preserve"> compreso tra il PCI e la </t>
    </r>
  </si>
  <si>
    <r>
      <t xml:space="preserve">il peso </t>
    </r>
    <r>
      <rPr>
        <b/>
        <sz val="10"/>
        <rFont val="Times New Roman"/>
        <family val="1"/>
      </rPr>
      <t>P</t>
    </r>
    <r>
      <rPr>
        <b/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del volume di fluido W</t>
    </r>
    <r>
      <rPr>
        <sz val="6"/>
        <rFont val="Times New Roman"/>
        <family val="1"/>
      </rPr>
      <t>1 sotto</t>
    </r>
    <r>
      <rPr>
        <sz val="10"/>
        <rFont val="Times New Roman"/>
        <family val="1"/>
      </rPr>
      <t xml:space="preserve"> compreso tra il PCI e la </t>
    </r>
  </si>
  <si>
    <t>Naturalmente, poiché le componenti calcolate con questo metodo sono le stesse ottenute applicando l'equilibrio globale, identico sarà il modulo</t>
  </si>
  <si>
    <r>
      <t>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che si ottiene sommando in quadratura le due componenti ed estraendone la radice quadrata.</t>
    </r>
  </si>
  <si>
    <t xml:space="preserve">piana che si ottiene proiettando la calotta curva 2 su un piano verticale, ovvero sull'"ombra piana" che si ottiene illuminando con una torcia  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</si>
  <si>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proiezione piana:</t>
    </r>
  </si>
  <si>
    <r>
      <t xml:space="preserve">applicata nel centro di spinta, sulla verticale condotta 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, ma più in basso.</t>
    </r>
  </si>
  <si>
    <r>
      <t>La componente verticale 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corrisponde invece (come accadeva per la calotta 1) al peso del volume di fluido immaginato compreso tra la </t>
    </r>
  </si>
  <si>
    <t xml:space="preserve">calotta ed il suo PCI del fluido. Anche per questa calotta bisogna fare attenzione al fatto che nel volume compreso tra il PCI e la parte di </t>
  </si>
  <si>
    <t>superficie con convessità verso l'alto, le componenti verticali delle pressioni ivi prementi hanno verso opposto a quello dell'asse z; mentre riguardo</t>
  </si>
  <si>
    <t>dell'asse z. Questo comporta che ancora una volta bisognerà considerare la differenza di due pesi:</t>
  </si>
  <si>
    <t xml:space="preserve">al volume compreso tra il PCI e la parte di calotta con convessità verso il basso, il verso delle componenti verticali delle pressioni è lo stesso </t>
  </si>
  <si>
    <r>
      <t xml:space="preserve">il peso </t>
    </r>
    <r>
      <rPr>
        <b/>
        <sz val="10"/>
        <rFont val="Times New Roman"/>
        <family val="1"/>
      </rPr>
      <t>P</t>
    </r>
    <r>
      <rPr>
        <b/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del volume di fluido W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compreso tra il PCI e la </t>
    </r>
  </si>
  <si>
    <r>
      <t xml:space="preserve">il peso </t>
    </r>
    <r>
      <rPr>
        <b/>
        <sz val="10"/>
        <rFont val="Times New Roman"/>
        <family val="1"/>
      </rPr>
      <t>P</t>
    </r>
    <r>
      <rPr>
        <b/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del volume di fluido W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compreso tra il PCI e la </t>
    </r>
  </si>
  <si>
    <r>
      <t>W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B1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L+1/4</t>
    </r>
    <r>
      <rPr>
        <sz val="6"/>
        <rFont val="Times New Roman"/>
        <family val="1"/>
      </rPr>
      <t xml:space="preserve">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 =</t>
    </r>
  </si>
  <si>
    <r>
      <t>P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 xml:space="preserve"> =</t>
    </r>
  </si>
  <si>
    <r>
      <t xml:space="preserve">      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>-P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=</t>
    </r>
  </si>
  <si>
    <t>Essa, a seguito del segno positivo sarà diretta verso l'alto. Inoltre, poichè la differenza tra i pesi dei due volumi individuati corrisponde</t>
  </si>
  <si>
    <t xml:space="preserve">Esattamente come visto per la calotta 1, anche qui le componenti calcolate adottando questo metodo sono le stesse ottenute usando il metodo </t>
  </si>
  <si>
    <r>
      <t>dell'equilibrio globale, quindi identico sarà anche il modulo S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 xml:space="preserve"> che si ottiene sommando in quadratura le componenti ed </t>
    </r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</si>
  <si>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 </t>
    </r>
    <r>
      <rPr>
        <sz val="10"/>
        <color indexed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</si>
  <si>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r>
      <t xml:space="preserve">all'affondamento 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>.</t>
    </r>
  </si>
  <si>
    <r>
      <t xml:space="preserve">(si noti che il </t>
    </r>
    <r>
      <rPr>
        <sz val="10"/>
        <color indexed="10"/>
        <rFont val="Times New Roman"/>
        <family val="1"/>
      </rPr>
      <t>segno meno</t>
    </r>
    <r>
      <rPr>
        <sz val="10"/>
        <rFont val="Times New Roman"/>
        <family val="1"/>
      </rPr>
      <t xml:space="preserve"> va intuito osservando che il PCI del fluido manometrico è più basso 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>)</t>
    </r>
  </si>
  <si>
    <r>
      <t xml:space="preserve">dunque il PCI si trova al di sotto dell'interfaccia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dell'altezza piezometrica:</t>
    </r>
  </si>
  <si>
    <r>
      <t xml:space="preserve">La ricerca della posizione del PCI comincia individuando la pressione presente all'interfaccia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tra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e quello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e quindi risalendo </t>
    </r>
  </si>
  <si>
    <r>
      <t xml:space="preserve">Si consideri il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compreso all'interno della calotta. Questa regione di solo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, "isolata" dal suo contesto reale (il </t>
    </r>
  </si>
  <si>
    <t xml:space="preserve"> "isolato" è garantito se la somma delle forze di massa e di superficie ad esso applicate ha risultante nulla. E' anche indispensabile che le forze</t>
  </si>
  <si>
    <t>di superficie "modellino" il  volume di controllo con la stessa forma che esso presenta nel sistema reale e che tutte le pressioni agenti abbiano</t>
  </si>
  <si>
    <t xml:space="preserve">come riferimento il PCI individuato al passo precedente. </t>
  </si>
  <si>
    <r>
      <t xml:space="preserve">●  affondamento del baricentro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della parete piana:</t>
    </r>
  </si>
  <si>
    <r>
      <t xml:space="preserve">per </t>
    </r>
    <r>
      <rPr>
        <b/>
        <sz val="10"/>
        <rFont val="Times New Roman"/>
        <family val="1"/>
      </rPr>
      <t>B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ma più in alto. Il segno meno ci dice anche che si </t>
    </r>
  </si>
  <si>
    <r>
      <t xml:space="preserve">dove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01</t>
    </r>
    <r>
      <rPr>
        <sz val="10"/>
        <rFont val="Times New Roman"/>
        <family val="1"/>
      </rPr>
      <t xml:space="preserve"> rappresenta la spinta risultante delle pressioni agenti (in trazione relativa) sulla parte curva della superficie di chiusura. Nel sistema reale,</t>
    </r>
  </si>
  <si>
    <r>
      <t xml:space="preserve">    |Re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>Citrini</t>
    </r>
    <r>
      <rPr>
        <sz val="10"/>
        <rFont val="Times New Roman"/>
        <family val="1"/>
      </rPr>
      <t xml:space="preserve"> - Re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 xml:space="preserve">Colebrook </t>
    </r>
    <r>
      <rPr>
        <sz val="10"/>
        <rFont val="Times New Roman"/>
        <family val="1"/>
      </rPr>
      <t>|/Re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>Colebrook</t>
    </r>
    <r>
      <rPr>
        <sz val="10"/>
        <rFont val="Times New Roman"/>
        <family val="1"/>
      </rPr>
      <t>*100 =</t>
    </r>
  </si>
  <si>
    <r>
      <t xml:space="preserve">             |Q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>Citrini</t>
    </r>
    <r>
      <rPr>
        <sz val="10"/>
        <rFont val="Times New Roman"/>
        <family val="1"/>
      </rPr>
      <t xml:space="preserve"> - Q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 xml:space="preserve">Colebrook </t>
    </r>
    <r>
      <rPr>
        <sz val="10"/>
        <rFont val="Times New Roman"/>
        <family val="1"/>
      </rPr>
      <t>|/Q</t>
    </r>
    <r>
      <rPr>
        <vertAlign val="superscript"/>
        <sz val="10"/>
        <rFont val="Times New Roman"/>
        <family val="1"/>
      </rPr>
      <t>(IV)</t>
    </r>
    <r>
      <rPr>
        <sz val="6"/>
        <rFont val="Times New Roman"/>
        <family val="1"/>
      </rPr>
      <t>Colebrook</t>
    </r>
    <r>
      <rPr>
        <sz val="10"/>
        <rFont val="Times New Roman"/>
        <family val="1"/>
      </rPr>
      <t>*100 =</t>
    </r>
  </si>
  <si>
    <t>Esercizio 46</t>
  </si>
  <si>
    <r>
      <t>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</si>
  <si>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</si>
  <si>
    <r>
      <t>m</t>
    </r>
    <r>
      <rPr>
        <i/>
        <sz val="10"/>
        <rFont val="Times New Roman"/>
        <family val="1"/>
      </rPr>
      <t xml:space="preserve">    </t>
    </r>
  </si>
  <si>
    <r>
      <t>e</t>
    </r>
    <r>
      <rPr>
        <sz val="6"/>
        <rFont val="Symbol"/>
        <family val="1"/>
      </rPr>
      <t>3</t>
    </r>
    <r>
      <rPr>
        <sz val="10"/>
        <rFont val="Symbol"/>
        <family val="1"/>
      </rPr>
      <t xml:space="preserve"> =</t>
    </r>
  </si>
  <si>
    <r>
      <t>m</t>
    </r>
    <r>
      <rPr>
        <i/>
        <sz val="10"/>
        <rFont val="Times New Roman"/>
        <family val="1"/>
      </rPr>
      <t xml:space="preserve">       </t>
    </r>
  </si>
  <si>
    <r>
      <t xml:space="preserve">       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Symbol"/>
        <family val="1"/>
      </rPr>
      <t>-a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Z</t>
    </r>
    <r>
      <rPr>
        <sz val="6"/>
        <rFont val="Times New Roman"/>
        <family val="1"/>
      </rPr>
      <t>V</t>
    </r>
  </si>
  <si>
    <r>
      <t xml:space="preserve">Nell'equazione sopra scritta sono incognite il </t>
    </r>
    <r>
      <rPr>
        <i/>
        <sz val="10"/>
        <rFont val="Times New Roman"/>
        <family val="1"/>
      </rPr>
      <t xml:space="preserve">salto utile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T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 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. Quest'ultimo, però, è immediatamente </t>
    </r>
  </si>
  <si>
    <r>
      <t>deducibile tramite 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 xml:space="preserve"> o le formule corrispondenti giacchè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è nota.</t>
    </r>
  </si>
  <si>
    <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</si>
  <si>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r>
      <t xml:space="preserve">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</si>
  <si>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Re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</si>
  <si>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</si>
  <si>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t xml:space="preserve">             Colebrook-White = 0</t>
  </si>
  <si>
    <r>
      <t xml:space="preserve">               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</si>
  <si>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 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</si>
  <si>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t>Inoltre:</t>
  </si>
  <si>
    <r>
      <t xml:space="preserve">   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</si>
  <si>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t>Quindi l'icognita cercata presenta il valore:</t>
  </si>
  <si>
    <r>
      <t xml:space="preserve">                   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</si>
  <si>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 xml:space="preserve">Essendo ora noto il </t>
    </r>
    <r>
      <rPr>
        <i/>
        <sz val="10"/>
        <rFont val="Times New Roman"/>
        <family val="1"/>
      </rPr>
      <t>salto utile</t>
    </r>
    <r>
      <rPr>
        <sz val="10"/>
        <rFont val="Times New Roman"/>
        <family val="1"/>
      </rPr>
      <t>, è possibile calcolare la potenza ritraibile dalla turbina come da definizione</t>
    </r>
    <r>
      <rPr>
        <i/>
        <sz val="10"/>
        <rFont val="Times New Roman"/>
        <family val="1"/>
      </rPr>
      <t>.</t>
    </r>
  </si>
  <si>
    <r>
      <t xml:space="preserve">   W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</si>
  <si>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t>Esercizio 52</t>
  </si>
  <si>
    <r>
      <t>Z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</si>
  <si>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x</t>
    </r>
    <r>
      <rPr>
        <sz val="8"/>
        <rFont val="Arial"/>
        <family val="2"/>
      </rPr>
      <t xml:space="preserve"> </t>
    </r>
    <r>
      <rPr>
        <sz val="6"/>
        <rFont val="Times New Roman"/>
        <family val="1"/>
      </rPr>
      <t>brusco restr.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</si>
  <si>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</si>
  <si>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</si>
  <si>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</si>
  <si>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e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</si>
  <si>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Determinazione della spinta S</t>
    </r>
    <r>
      <rPr>
        <i/>
        <u val="single"/>
        <sz val="6"/>
        <rFont val="Times New Roman"/>
        <family val="1"/>
      </rPr>
      <t>1</t>
    </r>
    <r>
      <rPr>
        <i/>
        <u val="single"/>
        <sz val="10"/>
        <rFont val="Times New Roman"/>
        <family val="1"/>
      </rPr>
      <t xml:space="preserve"> dovuta al liquido di peso specifico </t>
    </r>
    <r>
      <rPr>
        <i/>
        <u val="single"/>
        <sz val="10"/>
        <rFont val="Symbol"/>
        <family val="1"/>
      </rPr>
      <t>g</t>
    </r>
    <r>
      <rPr>
        <i/>
        <u val="single"/>
        <sz val="6"/>
        <rFont val="Times New Roman"/>
        <family val="1"/>
      </rPr>
      <t>1</t>
    </r>
    <r>
      <rPr>
        <i/>
        <u val="single"/>
        <sz val="10"/>
        <rFont val="Times New Roman"/>
        <family val="1"/>
      </rPr>
      <t xml:space="preserve"> e del suo braccio b</t>
    </r>
    <r>
      <rPr>
        <i/>
        <u val="single"/>
        <sz val="6"/>
        <rFont val="Times New Roman"/>
        <family val="1"/>
      </rPr>
      <t>S1</t>
    </r>
    <r>
      <rPr>
        <i/>
        <u val="single"/>
        <sz val="10"/>
        <rFont val="Times New Roman"/>
        <family val="1"/>
      </rPr>
      <t xml:space="preserve"> rispetto alla cerniera </t>
    </r>
    <r>
      <rPr>
        <b/>
        <u val="single"/>
        <sz val="10"/>
        <rFont val="Times New Roman"/>
        <family val="1"/>
      </rPr>
      <t>A</t>
    </r>
  </si>
  <si>
    <r>
      <t>Determinazione della spinta dovuta al gas, S</t>
    </r>
    <r>
      <rPr>
        <i/>
        <u val="single"/>
        <sz val="6"/>
        <rFont val="Times New Roman"/>
        <family val="1"/>
      </rPr>
      <t>g</t>
    </r>
    <r>
      <rPr>
        <i/>
        <u val="single"/>
        <sz val="10"/>
        <rFont val="Times New Roman"/>
        <family val="1"/>
      </rPr>
      <t xml:space="preserve"> e del rispettivo braccio b</t>
    </r>
    <r>
      <rPr>
        <i/>
        <u val="single"/>
        <sz val="6"/>
        <rFont val="Times New Roman"/>
        <family val="1"/>
      </rPr>
      <t>g</t>
    </r>
    <r>
      <rPr>
        <i/>
        <u val="single"/>
        <sz val="10"/>
        <rFont val="Times New Roman"/>
        <family val="1"/>
      </rPr>
      <t xml:space="preserve"> rispetto alla cerniera </t>
    </r>
    <r>
      <rPr>
        <b/>
        <u val="single"/>
        <sz val="10"/>
        <rFont val="Times New Roman"/>
        <family val="1"/>
      </rPr>
      <t>B</t>
    </r>
  </si>
  <si>
    <r>
      <t xml:space="preserve">Determinazione della forza </t>
    </r>
    <r>
      <rPr>
        <b/>
        <u val="single"/>
        <sz val="10"/>
        <rFont val="Times New Roman"/>
        <family val="1"/>
      </rPr>
      <t>F</t>
    </r>
  </si>
  <si>
    <r>
      <t xml:space="preserve">●  </t>
    </r>
    <r>
      <rPr>
        <i/>
        <sz val="10"/>
        <rFont val="Times New Roman"/>
        <family val="1"/>
      </rPr>
      <t>nel metodo dell'equilibrio globale</t>
    </r>
  </si>
  <si>
    <r>
      <t xml:space="preserve">●  </t>
    </r>
    <r>
      <rPr>
        <i/>
        <sz val="10"/>
        <rFont val="Times New Roman"/>
        <family val="1"/>
      </rPr>
      <t>nel metodo delle componenti</t>
    </r>
    <r>
      <rPr>
        <sz val="10"/>
        <rFont val="Times New Roman"/>
        <family val="1"/>
      </rPr>
      <t xml:space="preserve">     </t>
    </r>
  </si>
  <si>
    <t>Equazione di equilibrio globale sulla parte immersa del solido (metodo dell'equilibrio globale)</t>
  </si>
  <si>
    <t>Soluzione mediante il metodo delle componenti.</t>
  </si>
  <si>
    <t>Il metodo delle componenti dice che:</t>
  </si>
  <si>
    <t>noto che:</t>
  </si>
  <si>
    <r>
      <t xml:space="preserve">              S</t>
    </r>
    <r>
      <rPr>
        <sz val="6"/>
        <rFont val="Times New Roman"/>
        <family val="1"/>
      </rPr>
      <t>z</t>
    </r>
    <r>
      <rPr>
        <sz val="10"/>
        <rFont val="Times New Roman"/>
        <family val="1"/>
      </rPr>
      <t xml:space="preserve"> = S = P = </t>
    </r>
  </si>
  <si>
    <r>
      <t xml:space="preserve">accoppiarvi la relazione che lega le corrispondenti quote piezometriche con il dislivello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 xml:space="preserve"> indicato dal manometro.</t>
    </r>
  </si>
  <si>
    <r>
      <t xml:space="preserve">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 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</t>
    </r>
  </si>
  <si>
    <r>
      <t xml:space="preserve"> 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-(Z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g) = 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</t>
    </r>
  </si>
  <si>
    <t>da cui si evince:</t>
  </si>
  <si>
    <r>
      <t xml:space="preserve">          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</t>
    </r>
    <r>
      <rPr>
        <b/>
        <i/>
        <sz val="10"/>
        <color indexed="12"/>
        <rFont val="Times New Roman"/>
        <family val="1"/>
      </rPr>
      <t>Re</t>
    </r>
    <r>
      <rPr>
        <b/>
        <i/>
        <sz val="6"/>
        <color indexed="12"/>
        <rFont val="Times New Roman"/>
        <family val="1"/>
      </rPr>
      <t>1</t>
    </r>
    <r>
      <rPr>
        <b/>
        <i/>
        <sz val="10"/>
        <color indexed="12"/>
        <rFont val="Times New Roman"/>
        <family val="1"/>
      </rPr>
      <t>*radq</t>
    </r>
    <r>
      <rPr>
        <b/>
        <sz val="10"/>
        <color indexed="12"/>
        <rFont val="Times New Roman"/>
        <family val="1"/>
      </rPr>
      <t>(</t>
    </r>
    <r>
      <rPr>
        <b/>
        <i/>
        <sz val="10"/>
        <color indexed="12"/>
        <rFont val="Symbol"/>
        <family val="1"/>
      </rPr>
      <t>l</t>
    </r>
    <r>
      <rPr>
        <b/>
        <i/>
        <sz val="6"/>
        <color indexed="12"/>
        <rFont val="Times New Roman"/>
        <family val="1"/>
      </rPr>
      <t>1</t>
    </r>
    <r>
      <rPr>
        <b/>
        <sz val="10"/>
        <color indexed="12"/>
        <rFont val="Times New Roman"/>
        <family val="1"/>
      </rPr>
      <t>)</t>
    </r>
    <r>
      <rPr>
        <sz val="10"/>
        <rFont val="Times New Roman"/>
        <family val="1"/>
      </rPr>
      <t>]+(</t>
    </r>
    <r>
      <rPr>
        <sz val="10"/>
        <rFont val="Symbol"/>
        <family val="1"/>
      </rPr>
      <t>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)/3,71}}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</si>
  <si>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 xml:space="preserve">In effetti, utilizzando le formule di </t>
    </r>
    <r>
      <rPr>
        <i/>
        <sz val="10"/>
        <rFont val="Times New Roman"/>
        <family val="1"/>
      </rPr>
      <t>Citrini</t>
    </r>
    <r>
      <rPr>
        <sz val="10"/>
        <rFont val="Times New Roman"/>
        <family val="1"/>
      </rPr>
      <t xml:space="preserve"> l'esercizio puo essere risolto anche senza ricorrere alle iterazioni. Basta</t>
    </r>
  </si>
  <si>
    <t>scrivere l'equazione del moto tra i due serbatoi nel seguente modo:</t>
  </si>
  <si>
    <t>L'equazione è ad un'incognita, la portata Q. Procedendo per tentativi o utilizzando "Ricerca obiettivo" si ricava:</t>
  </si>
  <si>
    <r>
      <t xml:space="preserve">            Equazione</t>
    </r>
    <r>
      <rPr>
        <sz val="10"/>
        <rFont val="Times New Roman"/>
        <family val="1"/>
      </rPr>
      <t xml:space="preserve"> = 0</t>
    </r>
  </si>
  <si>
    <r>
      <t xml:space="preserve">      Q</t>
    </r>
    <r>
      <rPr>
        <vertAlign val="subscript"/>
        <sz val="10"/>
        <rFont val="Times New Roman"/>
        <family val="1"/>
      </rPr>
      <t>Citrini senza iterazioni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= </t>
    </r>
  </si>
  <si>
    <r>
      <t>Il risultato Q</t>
    </r>
    <r>
      <rPr>
        <vertAlign val="superscript"/>
        <sz val="10"/>
        <rFont val="Times New Roman"/>
        <family val="1"/>
      </rPr>
      <t>(IV)</t>
    </r>
    <r>
      <rPr>
        <sz val="10"/>
        <rFont val="Times New Roman"/>
        <family val="1"/>
      </rPr>
      <t xml:space="preserve"> ottenuto con le iterazioni e quello appena calcolato sono identici.</t>
    </r>
  </si>
  <si>
    <t>dunque possibile conoscere lo stato di pressione in ogni punto del sistema e, conseguentemente, calcolare le spinte.</t>
  </si>
  <si>
    <r>
      <t>p</t>
    </r>
    <r>
      <rPr>
        <sz val="6"/>
        <rFont val="Times New Roman"/>
        <family val="1"/>
      </rPr>
      <t>R</t>
    </r>
    <r>
      <rPr>
        <sz val="10"/>
        <rFont val="Times New Roman"/>
        <family val="1"/>
      </rPr>
      <t xml:space="preserve"> = -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</si>
  <si>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</si>
  <si>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t>Il serbatoio si trova dunque interamente in depressione, come del resto indicato nel testo.</t>
  </si>
  <si>
    <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</si>
  <si>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Flusso della quantità di moto 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1</t>
    </r>
  </si>
  <si>
    <r>
      <t xml:space="preserve">      h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</t>
    </r>
  </si>
  <si>
    <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>*[C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>] =</t>
    </r>
  </si>
  <si>
    <t>diretta normalmente alla sezione contratta, con verso entrante</t>
  </si>
  <si>
    <t>ed applicata nel centro di spinta il quale, trattandosi di un</t>
  </si>
  <si>
    <t>caso "di pressione uniforme", coincide con il baricentro.</t>
  </si>
  <si>
    <r>
      <t xml:space="preserve">Inoltre, essendo l'affondamento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pari a zero, essa sarà nulla.</t>
    </r>
  </si>
  <si>
    <r>
      <t xml:space="preserve">   Flusso della quantità di moto -</t>
    </r>
    <r>
      <rPr>
        <b/>
        <u val="single"/>
        <sz val="10"/>
        <rFont val="Times New Roman"/>
        <family val="1"/>
      </rPr>
      <t>M</t>
    </r>
    <r>
      <rPr>
        <b/>
        <u val="single"/>
        <sz val="6"/>
        <rFont val="Times New Roman"/>
        <family val="1"/>
      </rPr>
      <t>2</t>
    </r>
  </si>
  <si>
    <r>
      <t>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r</t>
    </r>
    <r>
      <rPr>
        <sz val="10"/>
        <rFont val="Times New Roman"/>
        <family val="1"/>
      </rPr>
      <t>*Q*V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</si>
  <si>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 xml:space="preserve">entrante ed applicato nel baricentro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.</t>
    </r>
  </si>
  <si>
    <r>
      <t xml:space="preserve">      S</t>
    </r>
    <r>
      <rPr>
        <sz val="7"/>
        <rFont val="Times New Roman"/>
        <family val="1"/>
      </rPr>
      <t>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+ M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)*cos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</si>
  <si>
    <r>
      <t xml:space="preserve">             S</t>
    </r>
    <r>
      <rPr>
        <sz val="7"/>
        <rFont val="Times New Roman"/>
        <family val="1"/>
      </rPr>
      <t>z</t>
    </r>
    <r>
      <rPr>
        <sz val="10"/>
        <rFont val="Times New Roman"/>
        <family val="1"/>
      </rPr>
      <t xml:space="preserve"> = - G -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)*sen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= </t>
    </r>
  </si>
  <si>
    <t>Esercizio 58 (Tema d'esame del 5 settembre 2002)</t>
  </si>
  <si>
    <r>
      <t>D</t>
    </r>
    <r>
      <rPr>
        <sz val="6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</si>
  <si>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 </t>
    </r>
  </si>
  <si>
    <r>
      <t>D</t>
    </r>
    <r>
      <rPr>
        <vertAlign val="subscript"/>
        <sz val="10"/>
        <color indexed="63"/>
        <rFont val="Times New Roman"/>
        <family val="1"/>
      </rPr>
      <t>2</t>
    </r>
    <r>
      <rPr>
        <sz val="10"/>
        <color indexed="63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</si>
  <si>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BA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BB</t>
    </r>
    <r>
      <rPr>
        <sz val="10"/>
        <rFont val="Times New Roman"/>
        <family val="1"/>
      </rPr>
      <t xml:space="preserve"> =</t>
    </r>
  </si>
  <si>
    <r>
      <t xml:space="preserve">m       </t>
    </r>
  </si>
  <si>
    <r>
      <t>d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</si>
  <si>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 xml:space="preserve">G RR 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G RR </t>
    </r>
    <r>
      <rPr>
        <sz val="10"/>
        <rFont val="Times New Roman"/>
        <family val="1"/>
      </rPr>
      <t xml:space="preserve"> =</t>
    </r>
  </si>
  <si>
    <t>baricentrale parallelo alla retta di sponda (si sorvola sul significato fisico).</t>
  </si>
  <si>
    <t>La formula che consente di calcolare questa grandezza  varia a seconda della</t>
  </si>
  <si>
    <t xml:space="preserve">forma della superficie premuta. Per superfici rettangolari essa è pari a: </t>
  </si>
  <si>
    <r>
      <t>1/12*</t>
    </r>
    <r>
      <rPr>
        <i/>
        <sz val="10"/>
        <rFont val="Times New Roman"/>
        <family val="1"/>
      </rPr>
      <t>base</t>
    </r>
    <r>
      <rPr>
        <sz val="10"/>
        <rFont val="Times New Roman"/>
        <family val="1"/>
      </rPr>
      <t>*</t>
    </r>
    <r>
      <rPr>
        <i/>
        <sz val="10"/>
        <rFont val="Times New Roman"/>
        <family val="1"/>
      </rPr>
      <t>altezza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</si>
  <si>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Per superfici di forma qualsiasi è consigliabile consultare i manuali.</t>
  </si>
  <si>
    <t>Dunque:</t>
  </si>
  <si>
    <r>
      <t>Determinare</t>
    </r>
    <r>
      <rPr>
        <sz val="10"/>
        <rFont val="Times New Roman"/>
        <family val="1"/>
      </rPr>
      <t xml:space="preserve"> le componenti della spinta agente sul tratto di lunghezza </t>
    </r>
    <r>
      <rPr>
        <i/>
        <sz val="10"/>
        <rFont val="Times New Roman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</si>
  <si>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>Determinazione delle perdite di carico</t>
  </si>
  <si>
    <r>
      <t>Re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10"/>
        <rFont val="Times New Roman"/>
        <family val="1"/>
      </rPr>
      <t>) =</t>
    </r>
  </si>
  <si>
    <r>
      <t>e</t>
    </r>
    <r>
      <rPr>
        <sz val="10"/>
        <rFont val="Times New Roman"/>
        <family val="1"/>
      </rPr>
      <t>/D</t>
    </r>
    <r>
      <rPr>
        <sz val="10"/>
        <rFont val="Times New Roman"/>
        <family val="1"/>
      </rPr>
      <t xml:space="preserve"> =</t>
    </r>
  </si>
  <si>
    <r>
      <t>l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</si>
  <si>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V = Q/A =</t>
  </si>
  <si>
    <r>
      <t xml:space="preserve">   J = (</t>
    </r>
    <r>
      <rPr>
        <sz val="10"/>
        <rFont val="Symbol"/>
        <family val="1"/>
      </rPr>
      <t>l</t>
    </r>
    <r>
      <rPr>
        <sz val="10"/>
        <rFont val="Times New Roman"/>
        <family val="1"/>
      </rPr>
      <t>/D)*V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</si>
  <si>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J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</si>
  <si>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J*L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</si>
  <si>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a</t>
    </r>
    <r>
      <rPr>
        <sz val="10"/>
        <rFont val="Times New Roman"/>
        <family val="1"/>
      </rPr>
      <t>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</si>
  <si>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Determinazione della spinta sul tratto curvo di lunghezza L</t>
    </r>
    <r>
      <rPr>
        <i/>
        <u val="single"/>
        <sz val="6"/>
        <rFont val="Times New Roman"/>
        <family val="1"/>
      </rPr>
      <t>2</t>
    </r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</si>
  <si>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= Z</t>
    </r>
    <r>
      <rPr>
        <b/>
        <sz val="6"/>
        <rFont val="Times New Roman"/>
        <family val="1"/>
      </rPr>
      <t>V</t>
    </r>
    <r>
      <rPr>
        <b/>
        <sz val="10"/>
        <rFont val="Times New Roman"/>
        <family val="1"/>
      </rPr>
      <t>+1.16*V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)*V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+(V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-V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+V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</t>
    </r>
  </si>
  <si>
    <r>
      <t>Z</t>
    </r>
    <r>
      <rPr>
        <b/>
        <sz val="6"/>
        <rFont val="Times New Roman"/>
        <family val="1"/>
      </rPr>
      <t>M</t>
    </r>
    <r>
      <rPr>
        <b/>
        <sz val="10"/>
        <rFont val="Times New Roman"/>
        <family val="1"/>
      </rPr>
      <t xml:space="preserve"> = 0,5*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x</t>
    </r>
    <r>
      <rPr>
        <b/>
        <sz val="10"/>
        <rFont val="Times New Roman"/>
        <family val="1"/>
      </rPr>
      <t>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)+H</t>
    </r>
    <r>
      <rPr>
        <b/>
        <sz val="6"/>
        <rFont val="Times New Roman"/>
        <family val="1"/>
      </rPr>
      <t>n</t>
    </r>
  </si>
  <si>
    <r>
      <t xml:space="preserve">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</si>
  <si>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p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*h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</si>
  <si>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Symbol"/>
        <family val="1"/>
      </rPr>
      <t>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*L</t>
    </r>
    <r>
      <rPr>
        <sz val="10"/>
        <rFont val="Arial"/>
        <family val="0"/>
      </rPr>
      <t xml:space="preserve"> =</t>
    </r>
  </si>
  <si>
    <r>
      <t>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p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</si>
  <si>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Per conoscere il momento esercitato da </t>
    </r>
    <r>
      <rPr>
        <b/>
        <sz val="10"/>
        <color indexed="12"/>
        <rFont val="Times New Roman"/>
        <family val="1"/>
      </rPr>
      <t>S</t>
    </r>
    <r>
      <rPr>
        <b/>
        <sz val="6"/>
        <color indexed="12"/>
        <rFont val="Times New Roman"/>
        <family val="1"/>
      </rPr>
      <t>1</t>
    </r>
    <r>
      <rPr>
        <i/>
        <sz val="10"/>
        <color indexed="12"/>
        <rFont val="Times New Roman"/>
        <family val="1"/>
      </rPr>
      <t xml:space="preserve"> rispetto alla cerniera posta in </t>
    </r>
    <r>
      <rPr>
        <b/>
        <sz val="10"/>
        <color indexed="12"/>
        <rFont val="Times New Roman"/>
        <family val="1"/>
      </rPr>
      <t>B</t>
    </r>
    <r>
      <rPr>
        <i/>
        <sz val="10"/>
        <color indexed="12"/>
        <rFont val="Times New Roman"/>
        <family val="1"/>
      </rPr>
      <t>, occorre preventivamente determinare</t>
    </r>
  </si>
  <si>
    <t>l'esatta posizione del suo centro di spinta.</t>
  </si>
  <si>
    <r>
      <t>x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h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/sen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 xml:space="preserve"> =</t>
    </r>
  </si>
  <si>
    <r>
      <t>M = x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*A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</si>
  <si>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I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(1/12)*(h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*L =</t>
    </r>
  </si>
  <si>
    <r>
      <t>x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I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/M =</t>
    </r>
  </si>
  <si>
    <r>
      <t>b</t>
    </r>
    <r>
      <rPr>
        <sz val="6"/>
        <rFont val="Times New Roman"/>
        <family val="1"/>
      </rPr>
      <t>S1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/(2*sen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)+|</t>
    </r>
    <r>
      <rPr>
        <sz val="10"/>
        <rFont val="Symbol"/>
        <family val="1"/>
      </rPr>
      <t>x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| =</t>
    </r>
  </si>
  <si>
    <t xml:space="preserve">La pressione del gas è uniforme nel volume da esso occupato. Detto stato di sforzo è deducibile a partire dalla </t>
  </si>
  <si>
    <r>
      <t xml:space="preserve">Preso poi un punto </t>
    </r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all'interfaccia tra il liquido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e l'areiforme CH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, l'affondamento 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risulta:</t>
    </r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</si>
  <si>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</si>
  <si>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</t>
    </r>
  </si>
  <si>
    <r>
      <t xml:space="preserve"> 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</si>
  <si>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 xml:space="preserve">          p</t>
    </r>
    <r>
      <rPr>
        <sz val="6"/>
        <rFont val="Times New Roman"/>
        <family val="1"/>
      </rPr>
      <t>CH4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Q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</si>
  <si>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 xml:space="preserve">Equazione del moto per una corrente che "va" da un serbastoio all'altro; incognite: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T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 xml:space="preserve"> .</t>
    </r>
  </si>
  <si>
    <r>
      <t>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/(2*g)*(1/A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H</t>
    </r>
    <r>
      <rPr>
        <sz val="6"/>
        <rFont val="Times New Roman"/>
        <family val="1"/>
      </rPr>
      <t>V</t>
    </r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</si>
  <si>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/(2*g)*(1/A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)-H</t>
    </r>
    <r>
      <rPr>
        <sz val="6"/>
        <rFont val="Times New Roman"/>
        <family val="1"/>
      </rPr>
      <t>V</t>
    </r>
  </si>
  <si>
    <r>
      <t xml:space="preserve">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</si>
  <si>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t xml:space="preserve">   Colebrook-White = 0</t>
  </si>
  <si>
    <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</t>
    </r>
  </si>
  <si>
    <t>La potenza ritraibile dalla turbina si calcola, da definizione, come</t>
  </si>
  <si>
    <r>
      <t xml:space="preserve">   W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</si>
  <si>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r>
      <t xml:space="preserve">         p 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 [H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]*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</si>
  <si>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p </t>
    </r>
    <r>
      <rPr>
        <sz val="6"/>
        <rFont val="Times New Roman"/>
        <family val="1"/>
      </rPr>
      <t>ari</t>
    </r>
    <r>
      <rPr>
        <sz val="7"/>
        <rFont val="Times New Roman"/>
        <family val="1"/>
      </rPr>
      <t>a</t>
    </r>
    <r>
      <rPr>
        <sz val="10"/>
        <rFont val="Arial"/>
        <family val="0"/>
      </rPr>
      <t>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</si>
  <si>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t>Esercizio 49</t>
  </si>
  <si>
    <r>
      <t>Z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</si>
  <si>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U</t>
    </r>
    <r>
      <rPr>
        <sz val="10"/>
        <rFont val="Times New Roman"/>
        <family val="1"/>
      </rPr>
      <t xml:space="preserve"> =</t>
    </r>
  </si>
  <si>
    <r>
      <t>e</t>
    </r>
    <r>
      <rPr>
        <sz val="7"/>
        <rFont val="Symbol"/>
        <family val="1"/>
      </rPr>
      <t>1</t>
    </r>
    <r>
      <rPr>
        <sz val="10"/>
        <rFont val="Symbol"/>
        <family val="1"/>
      </rPr>
      <t xml:space="preserve"> = </t>
    </r>
  </si>
  <si>
    <r>
      <t xml:space="preserve"> e</t>
    </r>
    <r>
      <rPr>
        <sz val="7"/>
        <rFont val="Symbol"/>
        <family val="1"/>
      </rPr>
      <t>2</t>
    </r>
    <r>
      <rPr>
        <sz val="10"/>
        <rFont val="Symbol"/>
        <family val="1"/>
      </rPr>
      <t xml:space="preserve"> =</t>
    </r>
  </si>
  <si>
    <r>
      <t>f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</si>
  <si>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transitante e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assorbita dalla pompa. </t>
    </r>
    <r>
      <rPr>
        <b/>
        <sz val="10"/>
        <rFont val="Times New Roman"/>
        <family val="1"/>
      </rPr>
      <t>Tracciare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L.C.T</t>
    </r>
    <r>
      <rPr>
        <sz val="10"/>
        <rFont val="Times New Roman"/>
        <family val="1"/>
      </rPr>
      <t xml:space="preserve">. e </t>
    </r>
    <r>
      <rPr>
        <i/>
        <sz val="10"/>
        <rFont val="Times New Roman"/>
        <family val="1"/>
      </rPr>
      <t>L.P</t>
    </r>
    <r>
      <rPr>
        <sz val="10"/>
        <rFont val="Times New Roman"/>
        <family val="1"/>
      </rPr>
      <t>..</t>
    </r>
  </si>
  <si>
    <r>
      <t>p</t>
    </r>
    <r>
      <rPr>
        <sz val="6"/>
        <rFont val="Times New Roman"/>
        <family val="1"/>
      </rPr>
      <t>DX</t>
    </r>
    <r>
      <rPr>
        <sz val="10"/>
        <rFont val="Times New Roman"/>
        <family val="1"/>
      </rPr>
      <t xml:space="preserve"> = n[Pa]+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*(h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+a) =</t>
    </r>
  </si>
  <si>
    <r>
      <t>p</t>
    </r>
    <r>
      <rPr>
        <sz val="6"/>
        <rFont val="Times New Roman"/>
        <family val="1"/>
      </rPr>
      <t>SX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</si>
  <si>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DX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SX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     ==&gt;</t>
    </r>
  </si>
  <si>
    <r>
      <t xml:space="preserve">                   g</t>
    </r>
    <r>
      <rPr>
        <sz val="10"/>
        <rFont val="Times New Roman"/>
        <family val="1"/>
      </rPr>
      <t xml:space="preserve"> = (7800+50*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) =</t>
    </r>
  </si>
  <si>
    <r>
      <t xml:space="preserve">                    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5,000+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/20 =</t>
    </r>
  </si>
  <si>
    <r>
      <t xml:space="preserve">                      p</t>
    </r>
    <r>
      <rPr>
        <sz val="6"/>
        <color indexed="12"/>
        <rFont val="Times New Roman"/>
        <family val="1"/>
      </rPr>
      <t>aria</t>
    </r>
    <r>
      <rPr>
        <sz val="10"/>
        <color indexed="12"/>
        <rFont val="Times New Roman"/>
        <family val="1"/>
      </rPr>
      <t xml:space="preserve"> = </t>
    </r>
    <r>
      <rPr>
        <sz val="10"/>
        <color indexed="12"/>
        <rFont val="Symbol"/>
        <family val="1"/>
      </rPr>
      <t>g</t>
    </r>
    <r>
      <rPr>
        <sz val="6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*[H-(h</t>
    </r>
    <r>
      <rPr>
        <sz val="6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+h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 xml:space="preserve">)] = </t>
    </r>
  </si>
  <si>
    <r>
      <t xml:space="preserve">            S</t>
    </r>
    <r>
      <rPr>
        <sz val="6"/>
        <color indexed="20"/>
        <rFont val="Times New Roman"/>
        <family val="1"/>
      </rPr>
      <t>gas, orizz.</t>
    </r>
    <r>
      <rPr>
        <sz val="10"/>
        <color indexed="20"/>
        <rFont val="Times New Roman"/>
        <family val="1"/>
      </rPr>
      <t xml:space="preserve"> = p</t>
    </r>
    <r>
      <rPr>
        <sz val="6"/>
        <color indexed="20"/>
        <rFont val="Times New Roman"/>
        <family val="1"/>
      </rPr>
      <t>gas</t>
    </r>
    <r>
      <rPr>
        <sz val="10"/>
        <color indexed="20"/>
        <rFont val="Times New Roman"/>
        <family val="1"/>
      </rPr>
      <t>*A</t>
    </r>
    <r>
      <rPr>
        <sz val="6"/>
        <color indexed="20"/>
        <rFont val="Times New Roman"/>
        <family val="1"/>
      </rPr>
      <t>gas, orizz.</t>
    </r>
    <r>
      <rPr>
        <sz val="10"/>
        <color indexed="20"/>
        <rFont val="Times New Roman"/>
        <family val="1"/>
      </rPr>
      <t xml:space="preserve"> =</t>
    </r>
  </si>
  <si>
    <r>
      <t xml:space="preserve">               S</t>
    </r>
    <r>
      <rPr>
        <sz val="6"/>
        <color indexed="20"/>
        <rFont val="Times New Roman"/>
        <family val="1"/>
      </rPr>
      <t>gas, vert.</t>
    </r>
    <r>
      <rPr>
        <sz val="10"/>
        <color indexed="20"/>
        <rFont val="Times New Roman"/>
        <family val="1"/>
      </rPr>
      <t xml:space="preserve"> = p</t>
    </r>
    <r>
      <rPr>
        <sz val="6"/>
        <color indexed="20"/>
        <rFont val="Times New Roman"/>
        <family val="1"/>
      </rPr>
      <t>gas</t>
    </r>
    <r>
      <rPr>
        <sz val="10"/>
        <color indexed="20"/>
        <rFont val="Times New Roman"/>
        <family val="1"/>
      </rPr>
      <t>*A</t>
    </r>
    <r>
      <rPr>
        <sz val="6"/>
        <color indexed="20"/>
        <rFont val="Times New Roman"/>
        <family val="1"/>
      </rPr>
      <t>gas, vert.</t>
    </r>
    <r>
      <rPr>
        <sz val="10"/>
        <color indexed="20"/>
        <rFont val="Times New Roman"/>
        <family val="1"/>
      </rPr>
      <t xml:space="preserve"> =</t>
    </r>
  </si>
  <si>
    <r>
      <t>PCI = H = h</t>
    </r>
    <r>
      <rPr>
        <sz val="6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+n[Pa]/</t>
    </r>
    <r>
      <rPr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</si>
  <si>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p</t>
    </r>
    <r>
      <rPr>
        <sz val="6"/>
        <color indexed="16"/>
        <rFont val="Times New Roman"/>
        <family val="1"/>
      </rPr>
      <t>aria</t>
    </r>
    <r>
      <rPr>
        <sz val="10"/>
        <color indexed="16"/>
        <rFont val="Times New Roman"/>
        <family val="1"/>
      </rPr>
      <t xml:space="preserve"> = </t>
    </r>
    <r>
      <rPr>
        <sz val="10"/>
        <color indexed="16"/>
        <rFont val="Symbol"/>
        <family val="1"/>
      </rPr>
      <t>g</t>
    </r>
    <r>
      <rPr>
        <sz val="10"/>
        <color indexed="16"/>
        <rFont val="Times New Roman"/>
        <family val="1"/>
      </rPr>
      <t>*[H-(h</t>
    </r>
    <r>
      <rPr>
        <sz val="6"/>
        <color indexed="16"/>
        <rFont val="Times New Roman"/>
        <family val="1"/>
      </rPr>
      <t>2</t>
    </r>
    <r>
      <rPr>
        <sz val="10"/>
        <color indexed="16"/>
        <rFont val="Times New Roman"/>
        <family val="1"/>
      </rPr>
      <t>+h</t>
    </r>
    <r>
      <rPr>
        <sz val="6"/>
        <color indexed="16"/>
        <rFont val="Times New Roman"/>
        <family val="1"/>
      </rPr>
      <t>1</t>
    </r>
    <r>
      <rPr>
        <sz val="10"/>
        <color indexed="16"/>
        <rFont val="Times New Roman"/>
        <family val="1"/>
      </rPr>
      <t xml:space="preserve">)] = </t>
    </r>
  </si>
  <si>
    <r>
      <t>g</t>
    </r>
    <r>
      <rPr>
        <sz val="10"/>
        <rFont val="Times New Roman"/>
        <family val="1"/>
      </rPr>
      <t>s =</t>
    </r>
  </si>
  <si>
    <t>Equilibrio meccanico</t>
  </si>
  <si>
    <t>Equazione di equilibrio globale sulla parte immersa del solido</t>
  </si>
  <si>
    <t>P + S = 0</t>
  </si>
  <si>
    <t>P = -S</t>
  </si>
  <si>
    <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</si>
  <si>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</si>
  <si>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</si>
  <si>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</si>
  <si>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</si>
  <si>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</si>
  <si>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1, 2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</si>
  <si>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b =</t>
  </si>
  <si>
    <t>c =</t>
  </si>
  <si>
    <r>
      <t>h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</si>
  <si>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</si>
  <si>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</t>
    </r>
  </si>
  <si>
    <r>
      <t>p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</si>
  <si>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</si>
  <si>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E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</si>
  <si>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</si>
  <si>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</si>
  <si>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t>H =</t>
  </si>
  <si>
    <t>h =</t>
  </si>
  <si>
    <t>M =</t>
  </si>
  <si>
    <t>D =</t>
  </si>
  <si>
    <t>A =</t>
  </si>
  <si>
    <t>S =</t>
  </si>
  <si>
    <t>M(2) =</t>
  </si>
  <si>
    <r>
      <t>x</t>
    </r>
    <r>
      <rPr>
        <sz val="10"/>
        <rFont val="Times New Roman"/>
        <family val="1"/>
      </rPr>
      <t>(2) =</t>
    </r>
  </si>
  <si>
    <r>
      <t>p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</si>
  <si>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>G</t>
    </r>
    <r>
      <rPr>
        <sz val="10"/>
        <rFont val="Times New Roman"/>
        <family val="1"/>
      </rPr>
      <t xml:space="preserve"> =</t>
    </r>
  </si>
  <si>
    <r>
      <t>x</t>
    </r>
    <r>
      <rPr>
        <sz val="10"/>
        <rFont val="Times New Roman"/>
        <family val="1"/>
      </rPr>
      <t xml:space="preserve"> =</t>
    </r>
  </si>
  <si>
    <r>
      <t>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(6+N/20) =</t>
    </r>
  </si>
  <si>
    <t>Cv =</t>
  </si>
  <si>
    <r>
      <t>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(75000+C*100) =</t>
    </r>
  </si>
  <si>
    <r>
      <t>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</si>
  <si>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 xml:space="preserve">x </t>
    </r>
    <r>
      <rPr>
        <sz val="6"/>
        <rFont val="Times New Roman"/>
        <family val="1"/>
      </rPr>
      <t>brusco restr.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</si>
  <si>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</si>
  <si>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N  =</t>
  </si>
  <si>
    <r>
      <t>D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</si>
  <si>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</si>
  <si>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</si>
  <si>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Equilibrio meccanico: pistone D</t>
    </r>
    <r>
      <rPr>
        <i/>
        <sz val="6"/>
        <rFont val="Times New Roman"/>
        <family val="1"/>
      </rPr>
      <t>1</t>
    </r>
  </si>
  <si>
    <r>
      <t>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</si>
  <si>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A(D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</si>
  <si>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t>Esercizio 24</t>
  </si>
  <si>
    <r>
      <t>Determinare</t>
    </r>
    <r>
      <rPr>
        <sz val="10"/>
        <rFont val="Times New Roman"/>
        <family val="1"/>
      </rPr>
      <t xml:space="preserve"> la forza </t>
    </r>
    <r>
      <rPr>
        <b/>
        <sz val="10"/>
        <rFont val="Times New Roman"/>
        <family val="1"/>
      </rPr>
      <t xml:space="preserve">F </t>
    </r>
    <r>
      <rPr>
        <sz val="10"/>
        <rFont val="Times New Roman"/>
        <family val="1"/>
      </rPr>
      <t xml:space="preserve">necessaria a garantire l'equilibrio. </t>
    </r>
  </si>
  <si>
    <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</si>
  <si>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</si>
  <si>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</si>
  <si>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</si>
  <si>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</si>
  <si>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Equilibrio meccanico lungo l'asse di scorrimento del pistone (D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 xml:space="preserve">) </t>
    </r>
  </si>
  <si>
    <r>
      <t>Azione del pistone (D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 + Peso pistone(D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)*sen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+ S</t>
    </r>
    <r>
      <rPr>
        <b/>
        <sz val="6"/>
        <rFont val="Symbol"/>
        <family val="1"/>
      </rPr>
      <t>s</t>
    </r>
    <r>
      <rPr>
        <b/>
        <sz val="10"/>
        <rFont val="Times New Roman"/>
        <family val="1"/>
      </rPr>
      <t>(D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 = 0</t>
    </r>
  </si>
  <si>
    <r>
      <t>P(D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</si>
  <si>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Lungo l'asse </t>
    </r>
    <r>
      <rPr>
        <i/>
        <sz val="10"/>
        <rFont val="Symbol"/>
        <family val="1"/>
      </rPr>
      <t>s</t>
    </r>
    <r>
      <rPr>
        <i/>
        <sz val="10"/>
        <rFont val="Times New Roman"/>
        <family val="1"/>
      </rPr>
      <t xml:space="preserve"> di scorrimento del pistone (D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) diventa</t>
    </r>
  </si>
  <si>
    <r>
      <t>oppure scalarmente lungo la direzione</t>
    </r>
    <r>
      <rPr>
        <i/>
        <sz val="10"/>
        <rFont val="Symbol"/>
        <family val="1"/>
      </rPr>
      <t xml:space="preserve"> s</t>
    </r>
  </si>
  <si>
    <r>
      <t>G</t>
    </r>
    <r>
      <rPr>
        <sz val="6"/>
        <rFont val="Times New Roman"/>
        <family val="1"/>
      </rPr>
      <t>calotta</t>
    </r>
    <r>
      <rPr>
        <sz val="10"/>
        <rFont val="Times New Roman"/>
        <family val="1"/>
      </rPr>
      <t>*sen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 calotta</t>
    </r>
    <r>
      <rPr>
        <sz val="10"/>
        <rFont val="Times New Roman"/>
        <family val="1"/>
      </rPr>
      <t xml:space="preserve"> + 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 0</t>
    </r>
  </si>
  <si>
    <r>
      <t>W</t>
    </r>
    <r>
      <rPr>
        <sz val="6"/>
        <rFont val="Times New Roman"/>
        <family val="1"/>
      </rPr>
      <t>calotta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</si>
  <si>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calotta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</si>
  <si>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B2 calotta</t>
    </r>
    <r>
      <rPr>
        <sz val="10"/>
        <rFont val="Times New Roman"/>
        <family val="1"/>
      </rPr>
      <t xml:space="preserve"> =</t>
    </r>
  </si>
  <si>
    <t xml:space="preserve">m   </t>
  </si>
  <si>
    <r>
      <t xml:space="preserve">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     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>-h</t>
    </r>
    <r>
      <rPr>
        <sz val="6"/>
        <rFont val="Times New Roman"/>
        <family val="1"/>
      </rPr>
      <t>B2 calotta</t>
    </r>
    <r>
      <rPr>
        <sz val="10"/>
        <rFont val="Times New Roman"/>
        <family val="1"/>
      </rPr>
      <t xml:space="preserve"> = </t>
    </r>
  </si>
  <si>
    <r>
      <t>F+ Peso pistone(D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)*sen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+ S</t>
    </r>
    <r>
      <rPr>
        <b/>
        <sz val="6"/>
        <rFont val="Symbol"/>
        <family val="1"/>
      </rPr>
      <t>s</t>
    </r>
    <r>
      <rPr>
        <b/>
        <sz val="10"/>
        <rFont val="Times New Roman"/>
        <family val="1"/>
      </rPr>
      <t>(D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 = 0</t>
    </r>
  </si>
  <si>
    <r>
      <t>S</t>
    </r>
    <r>
      <rPr>
        <sz val="6"/>
        <rFont val="Symbol"/>
        <family val="1"/>
      </rPr>
      <t>s</t>
    </r>
    <r>
      <rPr>
        <sz val="10"/>
        <rFont val="Times New Roman"/>
        <family val="1"/>
      </rPr>
      <t>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</si>
  <si>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P(D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</si>
  <si>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 xml:space="preserve">Lungo l'asse </t>
    </r>
    <r>
      <rPr>
        <i/>
        <sz val="10"/>
        <rFont val="Symbol"/>
        <family val="1"/>
      </rPr>
      <t>s</t>
    </r>
    <r>
      <rPr>
        <i/>
        <sz val="10"/>
        <rFont val="Times New Roman"/>
        <family val="1"/>
      </rPr>
      <t xml:space="preserve"> di scorrimento del pistone (D</t>
    </r>
    <r>
      <rPr>
        <i/>
        <sz val="6"/>
        <rFont val="Times New Roman"/>
        <family val="1"/>
      </rPr>
      <t>1</t>
    </r>
    <r>
      <rPr>
        <i/>
        <sz val="10"/>
        <rFont val="Times New Roman"/>
        <family val="1"/>
      </rPr>
      <t>) diventa</t>
    </r>
  </si>
  <si>
    <r>
      <t xml:space="preserve">                         Azione 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</si>
  <si>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 xml:space="preserve">                           W pistone (D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</si>
  <si>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1/radq(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 = -2*log</t>
    </r>
    <r>
      <rPr>
        <b/>
        <sz val="6"/>
        <rFont val="Times New Roman"/>
        <family val="1"/>
      </rPr>
      <t>10</t>
    </r>
    <r>
      <rPr>
        <b/>
        <sz val="10"/>
        <rFont val="Times New Roman"/>
        <family val="1"/>
      </rPr>
      <t>{2,51/[Re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*radq(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)+(</t>
    </r>
    <r>
      <rPr>
        <b/>
        <sz val="10"/>
        <rFont val="Symbol"/>
        <family val="1"/>
      </rPr>
      <t>e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)/3,71]}</t>
    </r>
  </si>
  <si>
    <r>
      <t xml:space="preserve">La cadente </t>
    </r>
    <r>
      <rPr>
        <i/>
        <sz val="10"/>
        <rFont val="Times New Roman"/>
        <family val="1"/>
      </rPr>
      <t>J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 xml:space="preserve"> vale dunque: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</si>
  <si>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=[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*(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)/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]/</t>
    </r>
    <r>
      <rPr>
        <i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</si>
  <si>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Grazie ai passi indicati si risale alla determinazione dell'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i/>
        <sz val="6"/>
        <rFont val="Arial"/>
        <family val="2"/>
      </rPr>
      <t>1</t>
    </r>
    <r>
      <rPr>
        <sz val="10"/>
        <rFont val="Times New Roman"/>
        <family val="1"/>
      </rPr>
      <t xml:space="preserve"> e quindi al valore della portata.</t>
    </r>
  </si>
  <si>
    <r>
      <t xml:space="preserve">          Re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 [D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*radq(2*g*D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)]/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 xml:space="preserve"> =</t>
    </r>
  </si>
  <si>
    <r>
      <t xml:space="preserve">                               Q =A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*radq(2*g*D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</si>
  <si>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Determinare</t>
    </r>
    <r>
      <rPr>
        <sz val="10"/>
        <rFont val="Times New Roman"/>
        <family val="1"/>
      </rPr>
      <t xml:space="preserve">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assorbita dalla pompa le portate </t>
    </r>
    <r>
      <rPr>
        <i/>
        <sz val="10"/>
        <rFont val="Times New Roman"/>
        <family val="1"/>
      </rPr>
      <t>Q</t>
    </r>
    <r>
      <rPr>
        <i/>
        <sz val="6"/>
        <rFont val="Times New Roman"/>
        <family val="1"/>
      </rPr>
      <t>2</t>
    </r>
    <r>
      <rPr>
        <i/>
        <sz val="10"/>
        <rFont val="Times New Roman"/>
        <family val="1"/>
      </rPr>
      <t>, Q</t>
    </r>
    <r>
      <rPr>
        <i/>
        <sz val="6"/>
        <rFont val="Times New Roman"/>
        <family val="1"/>
      </rPr>
      <t>3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e la potenza </t>
    </r>
    <r>
      <rPr>
        <i/>
        <sz val="10"/>
        <rFont val="Times New Roman"/>
        <family val="1"/>
      </rPr>
      <t>W</t>
    </r>
    <r>
      <rPr>
        <i/>
        <sz val="6"/>
        <rFont val="Times New Roman"/>
        <family val="1"/>
      </rPr>
      <t>T</t>
    </r>
    <r>
      <rPr>
        <sz val="10"/>
        <rFont val="Times New Roman"/>
        <family val="1"/>
      </rPr>
      <t xml:space="preserve"> ritraibile dalla turbina.</t>
    </r>
  </si>
  <si>
    <r>
      <t>Tracciare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L.P.</t>
    </r>
  </si>
  <si>
    <r>
      <t xml:space="preserve">         S</t>
    </r>
    <r>
      <rPr>
        <sz val="6"/>
        <rFont val="Times New Roman"/>
        <family val="1"/>
      </rPr>
      <t>AA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+ S</t>
    </r>
    <r>
      <rPr>
        <sz val="6"/>
        <rFont val="Times New Roman"/>
        <family val="1"/>
      </rPr>
      <t xml:space="preserve">2  </t>
    </r>
    <r>
      <rPr>
        <sz val="10"/>
        <rFont val="Times New Roman"/>
        <family val="1"/>
      </rPr>
      <t>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-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</si>
  <si>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r>
      <t xml:space="preserve">   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c+(b-c)/2+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02</t>
    </r>
    <r>
      <rPr>
        <sz val="10"/>
        <rFont val="Times New Roman"/>
        <family val="1"/>
      </rPr>
      <t xml:space="preserve"> =</t>
    </r>
  </si>
  <si>
    <r>
      <t>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c/2 =</t>
    </r>
  </si>
  <si>
    <r>
      <t xml:space="preserve">              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b/2+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01</t>
    </r>
    <r>
      <rPr>
        <sz val="10"/>
        <rFont val="Times New Roman"/>
        <family val="1"/>
      </rPr>
      <t xml:space="preserve"> =</t>
    </r>
  </si>
  <si>
    <r>
      <t xml:space="preserve">                r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[S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+S</t>
    </r>
    <r>
      <rPr>
        <sz val="6"/>
        <rFont val="Times New Roman"/>
        <family val="1"/>
      </rPr>
      <t xml:space="preserve">2 </t>
    </r>
    <r>
      <rPr>
        <sz val="10"/>
        <rFont val="Times New Roman"/>
        <family val="1"/>
      </rPr>
      <t>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r</t>
    </r>
    <r>
      <rPr>
        <vertAlign val="superscript"/>
        <sz val="10"/>
        <rFont val="Times New Roman"/>
        <family val="1"/>
      </rP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]/S</t>
    </r>
    <r>
      <rPr>
        <sz val="6"/>
        <rFont val="Times New Roman"/>
        <family val="1"/>
      </rPr>
      <t>AA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</si>
  <si>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</si>
  <si>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gas e previa individuazione di </t>
    </r>
    <r>
      <rPr>
        <sz val="10"/>
        <rFont val="Symbol"/>
        <family val="1"/>
      </rPr>
      <t>x</t>
    </r>
    <r>
      <rPr>
        <vertAlign val="superscript"/>
        <sz val="10"/>
        <rFont val="Symbol"/>
        <family val="1"/>
      </rPr>
      <t>+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sz val="10"/>
        <rFont val="Symbol"/>
        <family val="1"/>
      </rPr>
      <t>x</t>
    </r>
    <r>
      <rPr>
        <vertAlign val="superscript"/>
        <sz val="10"/>
        <rFont val="Times New Roman"/>
        <family val="1"/>
      </rPr>
      <t>-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per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facendo attenzione ad utilizzare i moduli delle grandezze quando necessario</t>
    </r>
    <r>
      <rPr>
        <sz val="10"/>
        <rFont val="Times New Roman"/>
        <family val="1"/>
      </rPr>
      <t>.</t>
    </r>
  </si>
  <si>
    <t>Il recipiente è occupato in parte da gas ed in parte da liquido. Il gas ha una distribuzione di pressione uniforme e quindi indipendentemente dal</t>
  </si>
  <si>
    <t>non comporterà alcuna rotazione dell'otturatore stesso.</t>
  </si>
  <si>
    <r>
      <t>e quindi l'affondamento h</t>
    </r>
    <r>
      <rPr>
        <sz val="6"/>
        <rFont val="Times New Roman"/>
        <family val="1"/>
      </rPr>
      <t xml:space="preserve">A  </t>
    </r>
    <r>
      <rPr>
        <sz val="10"/>
        <rFont val="Times New Roman"/>
        <family val="1"/>
      </rPr>
      <t xml:space="preserve">di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dal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si determina come:</t>
    </r>
  </si>
  <si>
    <r>
      <t xml:space="preserve">Il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è dunque più in basso del recipiente. Il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è in depressione.</t>
    </r>
  </si>
  <si>
    <t>Si proceda ora come "al solito"</t>
  </si>
  <si>
    <r>
      <t xml:space="preserve">●  area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</si>
  <si>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●  modulo S della spinta </t>
    </r>
    <r>
      <rPr>
        <b/>
        <sz val="10"/>
        <rFont val="Times New Roman"/>
        <family val="1"/>
      </rPr>
      <t>S</t>
    </r>
    <r>
      <rPr>
        <sz val="10"/>
        <rFont val="Times New Roman"/>
        <family val="1"/>
      </rPr>
      <t>:</t>
    </r>
  </si>
  <si>
    <t xml:space="preserve">    partire dalla retta di sponda, lungo la linea di massima pendenza della </t>
  </si>
  <si>
    <t xml:space="preserve">    superficie premuta.</t>
  </si>
  <si>
    <t>●  calcolo del momento statico M della superficie premuta:</t>
  </si>
  <si>
    <r>
      <t xml:space="preserve">●  calcolo di </t>
    </r>
    <r>
      <rPr>
        <sz val="10"/>
        <rFont val="Symbol"/>
        <family val="1"/>
      </rPr>
      <t>x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</si>
  <si>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>L'energia meccanica totale posseduta dal sistema corrisponde alla quota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della superficie libera nel serbatoio di monte.</t>
    </r>
  </si>
  <si>
    <r>
      <t xml:space="preserve">All'imbocco non ci sono perdite </t>
    </r>
    <r>
      <rPr>
        <i/>
        <sz val="10"/>
        <rFont val="Times New Roman"/>
        <family val="1"/>
      </rPr>
      <t>localizzate</t>
    </r>
    <r>
      <rPr>
        <sz val="10"/>
        <rFont val="Times New Roman"/>
        <family val="1"/>
      </rPr>
      <t xml:space="preserve"> perché esso è ben raccordato. Perdite di tipo </t>
    </r>
    <r>
      <rPr>
        <i/>
        <sz val="10"/>
        <rFont val="Times New Roman"/>
        <family val="1"/>
      </rPr>
      <t>distribuito</t>
    </r>
    <r>
      <rPr>
        <sz val="10"/>
        <rFont val="Times New Roman"/>
        <family val="1"/>
      </rPr>
      <t xml:space="preserve"> si hanno invece nei due</t>
    </r>
  </si>
  <si>
    <r>
      <t>localizzata di sbocco, appunto,  pari all'energia cinetica posseduta dalla corrente nel tratto di condotta con diametro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</si>
  <si>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>Al di sopra del convergente non si hanno perdite di carico. Dunque la L.C.T comincia ad inclinarsi verso valle subito dopo</t>
  </si>
  <si>
    <r>
      <t xml:space="preserve">Determinare </t>
    </r>
    <r>
      <rPr>
        <sz val="10"/>
        <rFont val="Times New Roman"/>
        <family val="1"/>
      </rPr>
      <t xml:space="preserve">la portata circolante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 xml:space="preserve">Tracciare </t>
    </r>
    <r>
      <rPr>
        <sz val="10"/>
        <rFont val="Times New Roman"/>
        <family val="1"/>
      </rPr>
      <t xml:space="preserve">la </t>
    </r>
    <r>
      <rPr>
        <i/>
        <sz val="10"/>
        <rFont val="Times New Roman"/>
        <family val="1"/>
      </rPr>
      <t>linea dei carichi totali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>) 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 xml:space="preserve">). </t>
    </r>
  </si>
  <si>
    <t>Q =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</si>
  <si>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</t>
    </r>
  </si>
  <si>
    <t>Esercizio 34</t>
  </si>
  <si>
    <r>
      <t>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</si>
  <si>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t xml:space="preserve"> fluido ideale</t>
  </si>
  <si>
    <r>
      <t xml:space="preserve">Determinare </t>
    </r>
    <r>
      <rPr>
        <sz val="10"/>
        <rFont val="Times New Roman"/>
        <family val="1"/>
      </rPr>
      <t xml:space="preserve">la portata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transitante, la quota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 raggiungibile dal getto in atmosfera e la massima quota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C max</t>
    </r>
    <r>
      <rPr>
        <sz val="10"/>
        <rFont val="Times New Roman"/>
        <family val="1"/>
      </rPr>
      <t xml:space="preserve"> </t>
    </r>
  </si>
  <si>
    <r>
      <t xml:space="preserve">al variare dell’angolo 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Tracciare </t>
    </r>
    <r>
      <rPr>
        <sz val="10"/>
        <rFont val="Times New Roman"/>
        <family val="1"/>
      </rPr>
      <t xml:space="preserve">la </t>
    </r>
    <r>
      <rPr>
        <i/>
        <sz val="10"/>
        <rFont val="Times New Roman"/>
        <family val="1"/>
      </rPr>
      <t>linea dei carichi totali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L.C.T.</t>
    </r>
    <r>
      <rPr>
        <sz val="10"/>
        <rFont val="Times New Roman"/>
        <family val="1"/>
      </rPr>
      <t>) e la</t>
    </r>
    <r>
      <rPr>
        <i/>
        <sz val="10"/>
        <rFont val="Times New Roman"/>
        <family val="1"/>
      </rPr>
      <t xml:space="preserve"> linea piezometrica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L.P.</t>
    </r>
    <r>
      <rPr>
        <sz val="10"/>
        <rFont val="Times New Roman"/>
        <family val="1"/>
      </rPr>
      <t>).</t>
    </r>
    <r>
      <rPr>
        <sz val="5"/>
        <rFont val="Times New Roman"/>
        <family val="1"/>
      </rPr>
      <t xml:space="preserve"> </t>
    </r>
  </si>
  <si>
    <r>
      <t>V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</si>
  <si>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t>m/s</t>
  </si>
  <si>
    <r>
      <t>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</si>
  <si>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Cmax</t>
    </r>
    <r>
      <rPr>
        <sz val="10"/>
        <rFont val="Times New Roman"/>
        <family val="1"/>
      </rPr>
      <t xml:space="preserve"> =</t>
    </r>
  </si>
  <si>
    <t>Esercizio 35</t>
  </si>
  <si>
    <r>
      <t>g</t>
    </r>
    <r>
      <rPr>
        <sz val="6"/>
        <rFont val="Times New Roman"/>
        <family val="1"/>
      </rPr>
      <t>m</t>
    </r>
    <r>
      <rPr>
        <sz val="10"/>
        <rFont val="Arial"/>
        <family val="0"/>
      </rPr>
      <t xml:space="preserve"> =</t>
    </r>
  </si>
  <si>
    <r>
      <t>L'equazione di equilibrio globale</t>
    </r>
    <r>
      <rPr>
        <sz val="10"/>
        <rFont val="Times New Roman"/>
        <family val="1"/>
      </rPr>
      <t xml:space="preserve"> applicata al </t>
    </r>
    <r>
      <rPr>
        <i/>
        <sz val="10"/>
        <rFont val="Times New Roman"/>
        <family val="1"/>
      </rPr>
      <t>volume di controllo</t>
    </r>
    <r>
      <rPr>
        <sz val="10"/>
        <rFont val="Times New Roman"/>
        <family val="1"/>
      </rPr>
      <t xml:space="preserve"> rappresentato dal tratto convergente+divergente ha la </t>
    </r>
  </si>
  <si>
    <t xml:space="preserve">seguente forma: </t>
  </si>
  <si>
    <t>Si procede ora alla determinazione del modulo ed alla descrizione vettoriale delle forze presenti nell'equazione.</t>
  </si>
  <si>
    <r>
      <t xml:space="preserve">      W = 1/3*</t>
    </r>
    <r>
      <rPr>
        <i/>
        <sz val="10"/>
        <rFont val="Times New Roman"/>
        <family val="1"/>
      </rPr>
      <t>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*[D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/4]+1/3*</t>
    </r>
    <r>
      <rPr>
        <i/>
        <sz val="10"/>
        <rFont val="Times New Roman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*[D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+ 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/4] =</t>
    </r>
  </si>
  <si>
    <r>
      <t xml:space="preserve">           h</t>
    </r>
    <r>
      <rPr>
        <vertAlign val="subscript"/>
        <sz val="10"/>
        <rFont val="Times New Roman"/>
        <family val="1"/>
      </rPr>
      <t>B1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-0,5V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2/(2g)-Z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</si>
  <si>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 xml:space="preserve">                 h</t>
    </r>
    <r>
      <rPr>
        <vertAlign val="subscript"/>
        <sz val="10"/>
        <rFont val="Times New Roman"/>
        <family val="1"/>
      </rPr>
      <t>B2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-0,5V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/(2g)-J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T</t>
    </r>
    <r>
      <rPr>
        <sz val="10"/>
        <rFont val="Times New Roman"/>
        <family val="1"/>
      </rPr>
      <t>-J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-m(</t>
    </r>
    <r>
      <rPr>
        <sz val="10"/>
        <rFont val="Symbol"/>
        <family val="1"/>
      </rPr>
      <t>b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)(V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/(2g)-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2/(2g)-Z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</si>
  <si>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 xml:space="preserve">             S</t>
    </r>
    <r>
      <rPr>
        <sz val="7"/>
        <rFont val="Times New Roman"/>
        <family val="1"/>
      </rPr>
      <t>x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- (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+ M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)  = 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= </t>
    </r>
  </si>
  <si>
    <r>
      <t xml:space="preserve">Dal segno positivo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x</t>
    </r>
    <r>
      <rPr>
        <sz val="10"/>
        <rFont val="Times New Roman"/>
        <family val="1"/>
      </rPr>
      <t xml:space="preserve"> ha verso concorde con quello dell'asse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. </t>
    </r>
  </si>
  <si>
    <r>
      <t>S</t>
    </r>
    <r>
      <rPr>
        <sz val="7"/>
        <rFont val="Times New Roman"/>
        <family val="1"/>
      </rPr>
      <t>z</t>
    </r>
    <r>
      <rPr>
        <sz val="10"/>
        <rFont val="Times New Roman"/>
        <family val="1"/>
      </rPr>
      <t xml:space="preserve"> = - G</t>
    </r>
    <r>
      <rPr>
        <sz val="10"/>
        <rFont val="Times New Roman"/>
        <family val="1"/>
      </rPr>
      <t xml:space="preserve"> = </t>
    </r>
  </si>
  <si>
    <r>
      <t xml:space="preserve">Dal segno negativo si deduce che </t>
    </r>
    <r>
      <rPr>
        <i/>
        <sz val="10"/>
        <rFont val="Times New Roman"/>
        <family val="1"/>
      </rPr>
      <t>S</t>
    </r>
    <r>
      <rPr>
        <i/>
        <sz val="6"/>
        <rFont val="Times New Roman"/>
        <family val="1"/>
      </rPr>
      <t>z</t>
    </r>
    <r>
      <rPr>
        <sz val="10"/>
        <rFont val="Times New Roman"/>
        <family val="1"/>
      </rPr>
      <t xml:space="preserve"> ha verso discorde con quello dell'asse </t>
    </r>
    <r>
      <rPr>
        <i/>
        <sz val="10"/>
        <rFont val="Times New Roman"/>
        <family val="1"/>
      </rPr>
      <t xml:space="preserve">z. </t>
    </r>
  </si>
  <si>
    <t>Esercizio 56</t>
  </si>
  <si>
    <r>
      <t>m(</t>
    </r>
    <r>
      <rPr>
        <sz val="10"/>
        <rFont val="Symbol"/>
        <family val="1"/>
      </rPr>
      <t>b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</si>
  <si>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Z</t>
    </r>
    <r>
      <rPr>
        <sz val="6"/>
        <rFont val="Times New Roman"/>
        <family val="1"/>
      </rPr>
      <t>B3</t>
    </r>
    <r>
      <rPr>
        <sz val="10"/>
        <rFont val="Times New Roman"/>
        <family val="1"/>
      </rPr>
      <t xml:space="preserve"> =</t>
    </r>
  </si>
  <si>
    <r>
      <t>b</t>
    </r>
    <r>
      <rPr>
        <sz val="6"/>
        <rFont val="Symbol"/>
        <family val="1"/>
      </rPr>
      <t>1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=</t>
    </r>
  </si>
  <si>
    <t xml:space="preserve">°  </t>
  </si>
  <si>
    <r>
      <t>f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=</t>
    </r>
  </si>
  <si>
    <r>
      <t>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</si>
  <si>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&gt;    -p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</si>
  <si>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Per il calcolo dell'</t>
    </r>
    <r>
      <rPr>
        <i/>
        <sz val="10"/>
        <rFont val="Times New Roman"/>
        <family val="1"/>
      </rPr>
      <t xml:space="preserve">indice di resistenza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, si sono usate le formule di </t>
    </r>
    <r>
      <rPr>
        <i/>
        <sz val="10"/>
        <rFont val="Times New Roman"/>
        <family val="1"/>
      </rPr>
      <t>Citrini</t>
    </r>
    <r>
      <rPr>
        <sz val="10"/>
        <rFont val="Times New Roman"/>
        <family val="1"/>
      </rPr>
      <t xml:space="preserve"> poiché esplicite rispetto a detto </t>
    </r>
  </si>
  <si>
    <r>
      <t xml:space="preserve">cefficiente. In alternativsa, si sarebbe potuta usare tranquillamente la formula di </t>
    </r>
    <r>
      <rPr>
        <i/>
        <sz val="10"/>
        <rFont val="Times New Roman"/>
        <family val="1"/>
      </rPr>
      <t>Colebrook-White</t>
    </r>
    <r>
      <rPr>
        <sz val="10"/>
        <rFont val="Times New Roman"/>
        <family val="1"/>
      </rPr>
      <t xml:space="preserve"> che però è </t>
    </r>
  </si>
  <si>
    <r>
      <t xml:space="preserve">implicita rispetto a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e quindi un po' scomoda se non si ha a disposizione un PC, una calcolatrice programmabile</t>
    </r>
  </si>
  <si>
    <r>
      <t>o l'</t>
    </r>
    <r>
      <rPr>
        <i/>
        <sz val="10"/>
        <rFont val="Times New Roman"/>
        <family val="1"/>
      </rPr>
      <t>abaco di Moody</t>
    </r>
    <r>
      <rPr>
        <sz val="10"/>
        <rFont val="Times New Roman"/>
        <family val="1"/>
      </rPr>
      <t>.</t>
    </r>
  </si>
  <si>
    <r>
      <t xml:space="preserve">Si ripete ora il procedimento con l'utilizzo delle formule "proprie" del suddetto </t>
    </r>
    <r>
      <rPr>
        <i/>
        <sz val="10"/>
        <rFont val="Times New Roman"/>
        <family val="1"/>
      </rPr>
      <t>abaco di Moody.</t>
    </r>
  </si>
  <si>
    <r>
      <t>Ipotesi di moto puramente turbolento in entrambe le condotte (</t>
    </r>
    <r>
      <rPr>
        <i/>
        <sz val="10"/>
        <rFont val="Times New Roman"/>
        <family val="1"/>
      </rPr>
      <t>iterazione "0")</t>
    </r>
  </si>
  <si>
    <r>
      <t>l</t>
    </r>
    <r>
      <rPr>
        <vertAlign val="superscript"/>
        <sz val="10"/>
        <rFont val="Times New Roman"/>
        <family val="1"/>
      </rPr>
      <t>(0)</t>
    </r>
    <r>
      <rPr>
        <sz val="10"/>
        <rFont val="Times New Roman"/>
        <family val="1"/>
      </rPr>
      <t xml:space="preserve"> = {-2*log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</t>
    </r>
    <r>
      <rPr>
        <sz val="10"/>
        <rFont val="Times New Roman"/>
        <family val="1"/>
      </rPr>
      <t>)/3,71}}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 xml:space="preserve"> =</t>
    </r>
  </si>
  <si>
    <r>
      <t>Q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 xml:space="preserve"> = A*radq{2*g*(Z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>)/[0.5+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(0)</t>
    </r>
    <r>
      <rPr>
        <sz val="10"/>
        <rFont val="Times New Roman"/>
        <family val="1"/>
      </rPr>
      <t>*L/D+1]} =</t>
    </r>
  </si>
  <si>
    <r>
      <t>1/radq(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)+2*log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{2,51/[Re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>)]+(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/D)/3,71} = 0</t>
    </r>
  </si>
  <si>
    <r>
      <t>l</t>
    </r>
    <r>
      <rPr>
        <vertAlign val="superscript"/>
        <sz val="10"/>
        <rFont val="Times New Roman"/>
        <family val="1"/>
      </rPr>
      <t>(I)</t>
    </r>
    <r>
      <rPr>
        <sz val="10"/>
        <rFont val="Times New Roman"/>
        <family val="1"/>
      </rPr>
      <t xml:space="preserve"> = </t>
    </r>
  </si>
  <si>
    <r>
      <t xml:space="preserve">Le iterazioni procederanno fino a quando i valori di </t>
    </r>
    <r>
      <rPr>
        <i/>
        <sz val="10"/>
        <rFont val="Times New Roman"/>
        <family val="1"/>
      </rPr>
      <t>Q</t>
    </r>
    <r>
      <rPr>
        <i/>
        <vertAlign val="superscript"/>
        <sz val="10"/>
        <rFont val="Times New Roman"/>
        <family val="1"/>
      </rPr>
      <t>(i-1)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Q</t>
    </r>
    <r>
      <rPr>
        <i/>
        <vertAlign val="superscript"/>
        <sz val="10"/>
        <rFont val="Times New Roman"/>
        <family val="1"/>
      </rPr>
      <t>(i)</t>
    </r>
    <r>
      <rPr>
        <i/>
        <sz val="10"/>
        <rFont val="Times New Roman"/>
        <family val="1"/>
      </rPr>
      <t xml:space="preserve"> </t>
    </r>
  </si>
  <si>
    <r>
      <t>1/radq(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)+2*log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{2,51/[Re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>)]+(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/D)/3.71} = 0</t>
    </r>
  </si>
  <si>
    <r>
      <t>l</t>
    </r>
    <r>
      <rPr>
        <vertAlign val="superscript"/>
        <sz val="10"/>
        <rFont val="Times New Roman"/>
        <family val="1"/>
      </rPr>
      <t>(II)</t>
    </r>
    <r>
      <rPr>
        <sz val="10"/>
        <rFont val="Times New Roman"/>
        <family val="1"/>
      </rPr>
      <t xml:space="preserve"> = </t>
    </r>
  </si>
  <si>
    <r>
      <t>1/radq(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)+2*log</t>
    </r>
    <r>
      <rPr>
        <sz val="6"/>
        <rFont val="Times New Roman"/>
        <family val="1"/>
      </rPr>
      <t>10</t>
    </r>
    <r>
      <rPr>
        <sz val="10"/>
        <rFont val="Times New Roman"/>
        <family val="1"/>
      </rPr>
      <t>{2,51/[Re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*radq(</t>
    </r>
    <r>
      <rPr>
        <sz val="10"/>
        <rFont val="Symbol"/>
        <family val="1"/>
      </rPr>
      <t>l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>)]+(</t>
    </r>
    <r>
      <rPr>
        <sz val="10"/>
        <rFont val="Symbol"/>
        <family val="1"/>
      </rPr>
      <t>e</t>
    </r>
    <r>
      <rPr>
        <sz val="10"/>
        <rFont val="Times New Roman"/>
        <family val="1"/>
      </rPr>
      <t>/D)/3.71} = 0</t>
    </r>
  </si>
  <si>
    <r>
      <t>l</t>
    </r>
    <r>
      <rPr>
        <vertAlign val="superscript"/>
        <sz val="10"/>
        <rFont val="Times New Roman"/>
        <family val="1"/>
      </rPr>
      <t>(III)</t>
    </r>
    <r>
      <rPr>
        <sz val="10"/>
        <rFont val="Times New Roman"/>
        <family val="1"/>
      </rPr>
      <t xml:space="preserve"> = </t>
    </r>
  </si>
  <si>
    <r>
      <t>Q</t>
    </r>
    <r>
      <rPr>
        <i/>
        <vertAlign val="superscript"/>
        <sz val="10"/>
        <rFont val="Times New Roman"/>
        <family val="1"/>
      </rPr>
      <t>(IV)</t>
    </r>
    <r>
      <rPr>
        <i/>
        <sz val="10"/>
        <rFont val="Times New Roman"/>
        <family val="1"/>
      </rPr>
      <t xml:space="preserve"> = Q</t>
    </r>
    <r>
      <rPr>
        <i/>
        <vertAlign val="superscript"/>
        <sz val="10"/>
        <rFont val="Times New Roman"/>
        <family val="1"/>
      </rPr>
      <t>(III)</t>
    </r>
  </si>
  <si>
    <r>
      <t>Re</t>
    </r>
    <r>
      <rPr>
        <i/>
        <vertAlign val="superscript"/>
        <sz val="10"/>
        <rFont val="Times New Roman"/>
        <family val="1"/>
      </rPr>
      <t>(IV)</t>
    </r>
    <r>
      <rPr>
        <i/>
        <sz val="10"/>
        <rFont val="Times New Roman"/>
        <family val="1"/>
      </rPr>
      <t xml:space="preserve"> e Re</t>
    </r>
    <r>
      <rPr>
        <i/>
        <vertAlign val="superscript"/>
        <sz val="10"/>
        <rFont val="Times New Roman"/>
        <family val="1"/>
      </rPr>
      <t>(III)</t>
    </r>
  </si>
  <si>
    <t>Tra i risultati ottenuti con i due diversi metodi vi sono le seguenti differenze:</t>
  </si>
  <si>
    <r>
      <t xml:space="preserve">Il vettore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è verticale, diretto verso il basso, con retta d'azione passante per il baricentro del volume di controllo.</t>
    </r>
  </si>
  <si>
    <r>
      <t xml:space="preserve">Sulla parete piana verticale agisce una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 xml:space="preserve"> il cui modulo è calcolabile "da manuale" secondo la solita "procedura":</t>
    </r>
  </si>
  <si>
    <r>
      <t>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-d+h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</si>
  <si>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           p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</si>
  <si>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1</t>
    </r>
    <r>
      <rPr>
        <sz val="10"/>
        <rFont val="Times New Roman"/>
        <family val="1"/>
      </rPr>
      <t>:</t>
    </r>
  </si>
  <si>
    <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D L =</t>
    </r>
  </si>
  <si>
    <r>
      <t>●  modulo S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</si>
  <si>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  <r>
      <rPr>
        <sz val="10"/>
        <rFont val="Times New Roman"/>
        <family val="1"/>
      </rPr>
      <t>:</t>
    </r>
  </si>
  <si>
    <t>questa spinta è orizzontale, con il verso positivo di x, ed</t>
  </si>
  <si>
    <t xml:space="preserve">è applicata nel centro di spinta, sulla verticale condotta </t>
  </si>
  <si>
    <t>L'equazione di equilibrio statico del volume di controllo si scrive:</t>
  </si>
  <si>
    <r>
      <t xml:space="preserve">nella quale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01</t>
    </r>
    <r>
      <rPr>
        <sz val="10"/>
        <rFont val="Times New Roman"/>
        <family val="1"/>
      </rPr>
      <t xml:space="preserve"> rappresenta la spinta risultante delle pressioni agenti sulla parte curva della superficie di chiusura. Nel sistema reale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01</t>
    </r>
    <r>
      <rPr>
        <sz val="10"/>
        <rFont val="Times New Roman"/>
        <family val="1"/>
      </rPr>
      <t xml:space="preserve"> </t>
    </r>
  </si>
  <si>
    <r>
      <t xml:space="preserve">costituisce un vettore uguale ed opposto alla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 xml:space="preserve">1 </t>
    </r>
    <r>
      <rPr>
        <sz val="10"/>
        <rFont val="Times New Roman"/>
        <family val="1"/>
      </rPr>
      <t>del fluido sulla calotta del recipiente. Dunque:</t>
    </r>
  </si>
  <si>
    <r>
      <t>S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= -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01</t>
    </r>
    <r>
      <rPr>
        <b/>
        <sz val="10"/>
        <rFont val="Times New Roman"/>
        <family val="1"/>
      </rPr>
      <t xml:space="preserve"> = G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1</t>
    </r>
  </si>
  <si>
    <r>
      <t>S</t>
    </r>
    <r>
      <rPr>
        <sz val="6"/>
        <rFont val="Times New Roman"/>
        <family val="1"/>
      </rPr>
      <t>1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</si>
  <si>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>1 z</t>
    </r>
    <r>
      <rPr>
        <sz val="10"/>
        <rFont val="Times New Roman"/>
        <family val="1"/>
      </rPr>
      <t xml:space="preserve"> = 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</si>
  <si>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e modulo</t>
  </si>
  <si>
    <t xml:space="preserve">Come volume di controllo conviene adottare quello "fittizio" compreso all'interno della calotta 2 qualora si immagini di "chiudere" la parte </t>
  </si>
  <si>
    <t>Metodo dell'equilibrio globale applicato alla calotta 2</t>
  </si>
  <si>
    <r>
      <t xml:space="preserve">      W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1/2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L =</t>
    </r>
  </si>
  <si>
    <r>
      <t xml:space="preserve">                 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</si>
  <si>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 xml:space="preserve">          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</si>
  <si>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 xml:space="preserve">●  area piana premuta da </t>
    </r>
    <r>
      <rPr>
        <b/>
        <sz val="10"/>
        <rFont val="Symbol"/>
        <family val="1"/>
      </rPr>
      <t>P</t>
    </r>
    <r>
      <rPr>
        <b/>
        <sz val="6"/>
        <rFont val="Symbol"/>
        <family val="1"/>
      </rPr>
      <t>2</t>
    </r>
    <r>
      <rPr>
        <sz val="10"/>
        <rFont val="Times New Roman"/>
        <family val="1"/>
      </rPr>
      <t>:</t>
    </r>
  </si>
  <si>
    <r>
      <t xml:space="preserve">●  modulo </t>
    </r>
    <r>
      <rPr>
        <sz val="10"/>
        <rFont val="Symbol"/>
        <family val="1"/>
      </rPr>
      <t>P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della spinta </t>
    </r>
    <r>
      <rPr>
        <b/>
        <sz val="10"/>
        <rFont val="Symbol"/>
        <family val="1"/>
      </rPr>
      <t>P</t>
    </r>
    <r>
      <rPr>
        <b/>
        <sz val="6"/>
        <rFont val="Times New Roman"/>
        <family val="1"/>
      </rPr>
      <t>2</t>
    </r>
    <r>
      <rPr>
        <sz val="10"/>
        <rFont val="Times New Roman"/>
        <family val="1"/>
      </rPr>
      <t>:</t>
    </r>
  </si>
  <si>
    <t xml:space="preserve">ed è applicata nel centro di spinta, sulla verticale condotta </t>
  </si>
  <si>
    <t>questa spinta è orizzontale, con verso opposto all'asse x,</t>
  </si>
  <si>
    <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D L =</t>
    </r>
  </si>
  <si>
    <r>
      <t>p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G2</t>
    </r>
    <r>
      <rPr>
        <sz val="10"/>
        <rFont val="Times New Roman"/>
        <family val="1"/>
      </rPr>
      <t xml:space="preserve"> =</t>
    </r>
  </si>
  <si>
    <t xml:space="preserve">        Colebrook-White = 0</t>
  </si>
  <si>
    <t xml:space="preserve">      Colebrook-White = 0</t>
  </si>
  <si>
    <t>Esercizio 53</t>
  </si>
  <si>
    <r>
      <t>Z</t>
    </r>
    <r>
      <rPr>
        <sz val="6"/>
        <rFont val="Times New Roman"/>
        <family val="1"/>
      </rPr>
      <t>B1</t>
    </r>
    <r>
      <rPr>
        <sz val="10"/>
        <rFont val="Times New Roman"/>
        <family val="1"/>
      </rPr>
      <t xml:space="preserve"> =</t>
    </r>
  </si>
  <si>
    <r>
      <t>Z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=</t>
    </r>
  </si>
  <si>
    <r>
      <t xml:space="preserve">q </t>
    </r>
    <r>
      <rPr>
        <sz val="10"/>
        <rFont val="Times New Roman"/>
        <family val="1"/>
      </rPr>
      <t>=</t>
    </r>
  </si>
  <si>
    <r>
      <t>e</t>
    </r>
    <r>
      <rPr>
        <sz val="10"/>
        <rFont val="Symbol"/>
        <family val="1"/>
      </rPr>
      <t xml:space="preserve"> =</t>
    </r>
  </si>
  <si>
    <r>
      <t xml:space="preserve">b </t>
    </r>
    <r>
      <rPr>
        <sz val="10"/>
        <rFont val="Times New Roman"/>
        <family val="1"/>
      </rPr>
      <t>=</t>
    </r>
  </si>
  <si>
    <r>
      <t>Determinare</t>
    </r>
    <r>
      <rPr>
        <sz val="10"/>
        <rFont val="Times New Roman"/>
        <family val="1"/>
      </rPr>
      <t xml:space="preserve"> la portata, la potenza assorbita dalla pompa, il livello del serbatoio di monte e la pressione registrata al manometro.</t>
    </r>
  </si>
  <si>
    <r>
      <t xml:space="preserve">Equazione del moto per una corrente che "va" dalla sezione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alla sezione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; incognite: </t>
    </r>
    <r>
      <rPr>
        <i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B</t>
    </r>
    <r>
      <rPr>
        <sz val="10"/>
        <rFont val="Times New Roman"/>
        <family val="1"/>
      </rPr>
      <t>.</t>
    </r>
    <r>
      <rPr>
        <i/>
        <sz val="10"/>
        <rFont val="Times New Roman"/>
        <family val="1"/>
      </rPr>
      <t xml:space="preserve"> .</t>
    </r>
  </si>
  <si>
    <t>Equazione "tipica" del manometro differenziale accoppiata a quella del moto scritta sopra:</t>
  </si>
  <si>
    <r>
      <t xml:space="preserve">                                           d</t>
    </r>
    <r>
      <rPr>
        <sz val="6"/>
        <rFont val="Times New Roman"/>
        <family val="1"/>
      </rPr>
      <t>1</t>
    </r>
    <r>
      <rPr>
        <sz val="10"/>
        <rFont val="t"/>
        <family val="0"/>
      </rPr>
      <t xml:space="preserve"> = </t>
    </r>
    <r>
      <rPr>
        <sz val="10"/>
        <rFont val="Symbol"/>
        <family val="1"/>
      </rPr>
      <t>D</t>
    </r>
    <r>
      <rPr>
        <sz val="6"/>
        <rFont val="Symbol"/>
        <family val="1"/>
      </rPr>
      <t>1</t>
    </r>
    <r>
      <rPr>
        <sz val="10"/>
        <rFont val="Arial"/>
        <family val="0"/>
      </rPr>
      <t xml:space="preserve"> = </t>
    </r>
    <r>
      <rPr>
        <sz val="10"/>
        <rFont val="Times New Roman"/>
        <family val="1"/>
      </rPr>
      <t>[z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]-[z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 =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/(2*g)*[(1+</t>
    </r>
    <r>
      <rPr>
        <sz val="10"/>
        <rFont val="Symbol"/>
        <family val="1"/>
      </rPr>
      <t>x</t>
    </r>
    <r>
      <rPr>
        <sz val="10"/>
        <rFont val="Times New Roman"/>
        <family val="1"/>
      </rPr>
      <t>)/A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</si>
  <si>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ovvero:</t>
  </si>
  <si>
    <r>
      <t xml:space="preserve">               Q = radq{[2*g/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]/[(1+</t>
    </r>
    <r>
      <rPr>
        <sz val="10"/>
        <rFont val="Symbol"/>
        <family val="1"/>
      </rPr>
      <t>x</t>
    </r>
    <r>
      <rPr>
        <sz val="10"/>
        <rFont val="Arial"/>
        <family val="0"/>
      </rPr>
      <t>)</t>
    </r>
    <r>
      <rPr>
        <sz val="10"/>
        <rFont val="Times New Roman"/>
        <family val="1"/>
      </rPr>
      <t>/A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]} =</t>
    </r>
  </si>
  <si>
    <t>Determinazione della prevalenza della pompa</t>
  </si>
  <si>
    <r>
      <t xml:space="preserve">Equazione del moto per una corrente che attraversa la pompa; incognite: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C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D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p</t>
    </r>
    <r>
      <rPr>
        <i/>
        <sz val="6"/>
        <rFont val="Times New Roman"/>
        <family val="1"/>
      </rPr>
      <t>D</t>
    </r>
    <r>
      <rPr>
        <sz val="10"/>
        <rFont val="Times New Roman"/>
        <family val="1"/>
      </rPr>
      <t>.</t>
    </r>
  </si>
  <si>
    <r>
      <t>Z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 = Z</t>
    </r>
    <r>
      <rPr>
        <b/>
        <sz val="6"/>
        <rFont val="Times New Roman"/>
        <family val="1"/>
      </rPr>
      <t>D</t>
    </r>
    <r>
      <rPr>
        <b/>
        <sz val="10"/>
        <rFont val="Times New Roman"/>
        <family val="1"/>
      </rPr>
      <t>+p</t>
    </r>
    <r>
      <rPr>
        <b/>
        <sz val="6"/>
        <rFont val="Times New Roman"/>
        <family val="1"/>
      </rPr>
      <t>D</t>
    </r>
    <r>
      <rPr>
        <b/>
        <sz val="10"/>
        <rFont val="Times New Roman"/>
        <family val="1"/>
      </rPr>
      <t>/</t>
    </r>
    <r>
      <rPr>
        <b/>
        <sz val="10"/>
        <rFont val="Symbol"/>
        <family val="1"/>
      </rPr>
      <t>g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V</t>
    </r>
    <r>
      <rPr>
        <b/>
        <sz val="6"/>
        <rFont val="Times New Roman"/>
        <family val="1"/>
      </rPr>
      <t>D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/(2*g)-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H</t>
    </r>
    <r>
      <rPr>
        <b/>
        <sz val="6"/>
        <rFont val="Times New Roman"/>
        <family val="1"/>
      </rPr>
      <t>P</t>
    </r>
  </si>
  <si>
    <r>
      <t>d</t>
    </r>
    <r>
      <rPr>
        <sz val="6"/>
        <rFont val="Symbol"/>
        <family val="1"/>
      </rPr>
      <t>2</t>
    </r>
    <r>
      <rPr>
        <sz val="10"/>
        <rFont val="t"/>
        <family val="0"/>
      </rPr>
      <t xml:space="preserve"> = </t>
    </r>
    <r>
      <rPr>
        <sz val="10"/>
        <rFont val="Symbol"/>
        <family val="1"/>
      </rPr>
      <t>D</t>
    </r>
    <r>
      <rPr>
        <sz val="6"/>
        <rFont val="Symbol"/>
        <family val="1"/>
      </rPr>
      <t>2</t>
    </r>
    <r>
      <rPr>
        <sz val="10"/>
        <rFont val="Arial"/>
        <family val="0"/>
      </rPr>
      <t>*(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</t>
    </r>
    <r>
      <rPr>
        <sz val="10"/>
        <rFont val="Times New Roman"/>
        <family val="1"/>
      </rPr>
      <t>[z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]-[z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 =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/(2*g)*[1/A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-1/A</t>
    </r>
    <r>
      <rPr>
        <sz val="6"/>
        <rFont val="Times New Roman"/>
        <family val="1"/>
      </rP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]+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</si>
  <si>
    <t>La geometria del problema è tale che:</t>
  </si>
  <si>
    <r>
      <t>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A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 ==&gt; V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Q/A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V</t>
    </r>
    <r>
      <rPr>
        <sz val="6"/>
        <rFont val="Times New Roman"/>
        <family val="1"/>
      </rPr>
      <t>4</t>
    </r>
  </si>
  <si>
    <t>Ne deriva</t>
  </si>
  <si>
    <r>
      <t xml:space="preserve">           d</t>
    </r>
    <r>
      <rPr>
        <sz val="6"/>
        <rFont val="Symbol"/>
        <family val="1"/>
      </rPr>
      <t>2</t>
    </r>
    <r>
      <rPr>
        <sz val="10"/>
        <rFont val="t"/>
        <family val="0"/>
      </rPr>
      <t xml:space="preserve"> = </t>
    </r>
    <r>
      <rPr>
        <sz val="10"/>
        <rFont val="Symbol"/>
        <family val="1"/>
      </rPr>
      <t>D</t>
    </r>
    <r>
      <rPr>
        <sz val="6"/>
        <rFont val="Symbol"/>
        <family val="1"/>
      </rPr>
      <t>2</t>
    </r>
    <r>
      <rPr>
        <sz val="10"/>
        <rFont val="Arial"/>
        <family val="0"/>
      </rPr>
      <t>*(</t>
    </r>
    <r>
      <rPr>
        <sz val="10"/>
        <rFont val="Symbol"/>
        <family val="1"/>
      </rPr>
      <t>g</t>
    </r>
    <r>
      <rPr>
        <sz val="7"/>
        <rFont val="Times New Roman"/>
        <family val="1"/>
      </rPr>
      <t>m</t>
    </r>
    <r>
      <rPr>
        <sz val="10"/>
        <rFont val="Arial"/>
        <family val="0"/>
      </rPr>
      <t>-</t>
    </r>
    <r>
      <rPr>
        <sz val="10"/>
        <rFont val="Symbol"/>
        <family val="1"/>
      </rPr>
      <t>g</t>
    </r>
    <r>
      <rPr>
        <sz val="10"/>
        <rFont val="Arial"/>
        <family val="0"/>
      </rPr>
      <t>)/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</t>
    </r>
    <r>
      <rPr>
        <sz val="10"/>
        <rFont val="Times New Roman"/>
        <family val="1"/>
      </rPr>
      <t>[z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]-[z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] =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</si>
  <si>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>W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*Q*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h</t>
    </r>
    <r>
      <rPr>
        <sz val="6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=</t>
    </r>
  </si>
  <si>
    <t>Determinazione del P.C.I. del serbatoio intermedio</t>
  </si>
  <si>
    <r>
      <t xml:space="preserve">Equazione del moto per una corrente che "va" da un serbatoio all'altro; incognite: 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n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3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4</t>
    </r>
    <r>
      <rPr>
        <sz val="10"/>
        <rFont val="Times New Roman"/>
        <family val="1"/>
      </rPr>
      <t>.</t>
    </r>
  </si>
  <si>
    <r>
      <t>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)*Q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-(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= Z</t>
    </r>
    <r>
      <rPr>
        <sz val="6"/>
        <rFont val="Times New Roman"/>
        <family val="1"/>
      </rPr>
      <t>V</t>
    </r>
  </si>
  <si>
    <r>
      <t xml:space="preserve">                       Re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 = Re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4*Q/(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*D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) =</t>
    </r>
  </si>
  <si>
    <r>
      <t>e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 xml:space="preserve"> =</t>
    </r>
    <r>
      <rPr>
        <sz val="10"/>
        <rFont val="Symbol"/>
        <family val="1"/>
      </rPr>
      <t>e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</si>
  <si>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l</t>
    </r>
    <r>
      <rPr>
        <sz val="6"/>
        <rFont val="Arial"/>
        <family val="2"/>
      </rPr>
      <t>3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 xml:space="preserve">= </t>
    </r>
    <r>
      <rPr>
        <sz val="10"/>
        <rFont val="Symbol"/>
        <family val="1"/>
      </rPr>
      <t>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 xml:space="preserve"> = </t>
    </r>
  </si>
  <si>
    <t xml:space="preserve">              Colebrook-White = 0</t>
  </si>
  <si>
    <t xml:space="preserve">    (usando "Ricerca obiettivo")</t>
  </si>
  <si>
    <t>Se ne evince:</t>
  </si>
  <si>
    <r>
      <t>H</t>
    </r>
    <r>
      <rPr>
        <sz val="6"/>
        <rFont val="Times New Roman"/>
        <family val="1"/>
      </rPr>
      <t xml:space="preserve">n </t>
    </r>
    <r>
      <rPr>
        <sz val="10"/>
        <rFont val="Times New Roman"/>
        <family val="1"/>
      </rPr>
      <t>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)*Q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3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3</t>
    </r>
    <r>
      <rPr>
        <sz val="10"/>
        <rFont val="Times New Roman"/>
        <family val="1"/>
      </rPr>
      <t>-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P</t>
    </r>
    <r>
      <rPr>
        <sz val="10"/>
        <rFont val="Times New Roman"/>
        <family val="1"/>
      </rPr>
      <t>+(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/(2*g*A</t>
    </r>
    <r>
      <rPr>
        <sz val="6"/>
        <rFont val="Times New Roman"/>
        <family val="1"/>
      </rP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)+Z</t>
    </r>
    <r>
      <rPr>
        <sz val="6"/>
        <rFont val="Times New Roman"/>
        <family val="1"/>
      </rPr>
      <t>V</t>
    </r>
    <r>
      <rPr>
        <sz val="10"/>
        <rFont val="Times New Roman"/>
        <family val="1"/>
      </rPr>
      <t xml:space="preserve"> = </t>
    </r>
  </si>
  <si>
    <t>Determinazione dell'indicazione del manometro metallico</t>
  </si>
  <si>
    <r>
      <t>n = (H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-Z</t>
    </r>
    <r>
      <rPr>
        <sz val="6"/>
        <rFont val="Times New Roman"/>
        <family val="1"/>
      </rPr>
      <t>n</t>
    </r>
    <r>
      <rPr>
        <sz val="10"/>
        <rFont val="Times New Roman"/>
        <family val="1"/>
      </rPr>
      <t>)*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</si>
  <si>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Determinazione del P.C.I. del serbatoio di monte</t>
  </si>
  <si>
    <r>
      <t xml:space="preserve">Equazione del moto per una corrente che "va" dal  serbatoio di monte a quello intermedio; incognite: </t>
    </r>
    <r>
      <rPr>
        <i/>
        <sz val="10"/>
        <rFont val="Times New Roman"/>
        <family val="1"/>
      </rPr>
      <t>Z</t>
    </r>
    <r>
      <rPr>
        <i/>
        <sz val="6"/>
        <rFont val="Times New Roman"/>
        <family val="1"/>
      </rPr>
      <t>m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i/>
        <sz val="10"/>
        <rFont val="Symbol"/>
        <family val="1"/>
      </rPr>
      <t>l</t>
    </r>
    <r>
      <rPr>
        <i/>
        <sz val="6"/>
        <rFont val="Times New Roman"/>
        <family val="1"/>
      </rPr>
      <t>2</t>
    </r>
    <r>
      <rPr>
        <sz val="10"/>
        <rFont val="Times New Roman"/>
        <family val="1"/>
      </rPr>
      <t>.</t>
    </r>
  </si>
  <si>
    <t xml:space="preserve">Pa   </t>
  </si>
  <si>
    <r>
      <t>g</t>
    </r>
    <r>
      <rPr>
        <sz val="6"/>
        <rFont val="Times New Roman"/>
        <family val="1"/>
      </rPr>
      <t>m1</t>
    </r>
    <r>
      <rPr>
        <sz val="10"/>
        <rFont val="Times New Roman"/>
        <family val="1"/>
      </rPr>
      <t xml:space="preserve"> =</t>
    </r>
  </si>
  <si>
    <r>
      <t>g</t>
    </r>
    <r>
      <rPr>
        <sz val="6"/>
        <rFont val="Times New Roman"/>
        <family val="1"/>
      </rPr>
      <t>m2</t>
    </r>
    <r>
      <rPr>
        <sz val="10"/>
        <rFont val="Times New Roman"/>
        <family val="1"/>
      </rPr>
      <t xml:space="preserve"> =</t>
    </r>
  </si>
  <si>
    <t>I passi da compiere sono i consueti: determinazione dell'affondamento del baricentro della superficie premuta, calcolo</t>
  </si>
  <si>
    <t>della pressione nello stesso, determinazione dell'area della superficie sollecitata ed infine, dal prodotto di queste due</t>
  </si>
  <si>
    <t xml:space="preserve">quantità, determinazione della spinmta agente su detta superficie. La spinta sarà diretta normalmente alla superficie </t>
  </si>
  <si>
    <t>obliqua ed il suo centro di spinta si troverà più elevato rispetto alla quota del baricentro.</t>
  </si>
  <si>
    <r>
      <t>h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 xml:space="preserve"> = -{|H</t>
    </r>
    <r>
      <rPr>
        <sz val="6"/>
        <rFont val="Times New Roman"/>
        <family val="1"/>
      </rPr>
      <t xml:space="preserve">1 </t>
    </r>
    <r>
      <rPr>
        <sz val="10"/>
        <rFont val="Times New Roman"/>
        <family val="1"/>
      </rPr>
      <t>|+h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/2} =</t>
    </r>
  </si>
  <si>
    <t>senso che si impone  su di essa una pressione pari allo zero assoluto e con detto vincolo circolerà una portata diversa</t>
  </si>
  <si>
    <t>da quella assegnata nei dati poiché a questo punto cambierà il livello del serbatoio di monte.</t>
  </si>
  <si>
    <t>Il sistema risolvente diventerà quindi:</t>
  </si>
  <si>
    <r>
      <t xml:space="preserve">   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+[-p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]/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/(2*g)+0,1*V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</t>
    </r>
  </si>
  <si>
    <t>Determinazione della potenza della turbina</t>
  </si>
  <si>
    <r>
      <t>W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 xml:space="preserve">B2 </t>
    </r>
    <r>
      <rPr>
        <sz val="10"/>
        <rFont val="Times New Roman"/>
        <family val="1"/>
      </rPr>
      <t>D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L-1/4</t>
    </r>
    <r>
      <rPr>
        <sz val="6"/>
        <rFont val="Times New Roman"/>
        <family val="1"/>
      </rPr>
      <t xml:space="preserve"> </t>
    </r>
    <r>
      <rPr>
        <sz val="10"/>
        <rFont val="Symbol"/>
        <family val="1"/>
      </rPr>
      <t>p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L =</t>
    </r>
  </si>
  <si>
    <r>
      <t>P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2 sopra</t>
    </r>
    <r>
      <rPr>
        <sz val="10"/>
        <rFont val="Times New Roman"/>
        <family val="1"/>
      </rPr>
      <t xml:space="preserve"> =</t>
    </r>
  </si>
  <si>
    <t xml:space="preserve">verticali delle pressioni hannolo stesso verso dell'asse z. Esso va </t>
  </si>
  <si>
    <t xml:space="preserve">considerato "diretto verso l'alto", come le componenti suddette, </t>
  </si>
  <si>
    <r>
      <t>con retta d'azione verticale passante per il baricentro di W</t>
    </r>
    <r>
      <rPr>
        <sz val="6"/>
        <rFont val="Times New Roman"/>
        <family val="1"/>
      </rPr>
      <t>2 sotto</t>
    </r>
    <r>
      <rPr>
        <sz val="10"/>
        <rFont val="Times New Roman"/>
        <family val="1"/>
      </rPr>
      <t>.</t>
    </r>
  </si>
  <si>
    <r>
      <t>La componente S</t>
    </r>
    <r>
      <rPr>
        <sz val="6"/>
        <rFont val="Times New Roman"/>
        <family val="1"/>
      </rPr>
      <t>2 z</t>
    </r>
    <r>
      <rPr>
        <sz val="10"/>
        <rFont val="Times New Roman"/>
        <family val="1"/>
      </rPr>
      <t xml:space="preserve"> risulterà dalla differenza di questi due pesi.</t>
    </r>
  </si>
  <si>
    <t xml:space="preserve">esattamente al peso del volume di fluido che idealmente potrebbe essere contenuto all'interno della calotta, questa componente avrà retta </t>
  </si>
  <si>
    <r>
      <t>Determinare</t>
    </r>
    <r>
      <rPr>
        <sz val="10"/>
        <rFont val="Times New Roman"/>
        <family val="1"/>
      </rPr>
      <t xml:space="preserve"> la spinta sulla superficie piana circolare di traccia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 e la posizione del corrispondente centro di spinta.</t>
    </r>
  </si>
  <si>
    <t>Esercizio 8</t>
  </si>
  <si>
    <t>R =</t>
  </si>
  <si>
    <r>
      <t>Determinare</t>
    </r>
    <r>
      <rPr>
        <sz val="10"/>
        <rFont val="Times New Roman"/>
        <family val="1"/>
      </rPr>
      <t xml:space="preserve"> la reazione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necessaria per mantenere in equilibrio la paratoia piana.</t>
    </r>
  </si>
  <si>
    <t>Esercizio 9</t>
  </si>
  <si>
    <t>Esercizio 10</t>
  </si>
  <si>
    <t>d =</t>
  </si>
  <si>
    <t>e =</t>
  </si>
  <si>
    <r>
      <t>D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</si>
  <si>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</si>
  <si>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</si>
  <si>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</si>
  <si>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Esercizio 11</t>
  </si>
  <si>
    <t>F =</t>
  </si>
  <si>
    <r>
      <t>F</t>
    </r>
    <r>
      <rPr>
        <sz val="6"/>
        <rFont val="Times New Roman"/>
        <family val="1"/>
      </rPr>
      <t>A-A</t>
    </r>
    <r>
      <rPr>
        <sz val="10"/>
        <rFont val="Times New Roman"/>
        <family val="1"/>
      </rPr>
      <t xml:space="preserve"> =</t>
    </r>
  </si>
  <si>
    <t>P =</t>
  </si>
  <si>
    <r>
      <t>Determinare</t>
    </r>
    <r>
      <rPr>
        <sz val="10"/>
        <rFont val="Times New Roman"/>
        <family val="1"/>
      </rPr>
      <t xml:space="preserve"> il peso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affinchè il sistema (</t>
    </r>
    <r>
      <rPr>
        <i/>
        <sz val="10"/>
        <rFont val="Times New Roman"/>
        <family val="1"/>
      </rPr>
      <t>torchio idraulico</t>
    </r>
    <r>
      <rPr>
        <sz val="10"/>
        <rFont val="Times New Roman"/>
        <family val="1"/>
      </rPr>
      <t>) sia in equilibrio come indicato in figura.</t>
    </r>
  </si>
  <si>
    <t>Esercizio 12</t>
  </si>
  <si>
    <r>
      <t>b</t>
    </r>
    <r>
      <rPr>
        <sz val="10"/>
        <rFont val="Times New Roman"/>
        <family val="1"/>
      </rPr>
      <t xml:space="preserve"> = </t>
    </r>
  </si>
  <si>
    <r>
      <t>S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</si>
  <si>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RR x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</si>
  <si>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RR z</t>
    </r>
    <r>
      <rPr>
        <sz val="10"/>
        <rFont val="Times New Roman"/>
        <family val="1"/>
      </rPr>
      <t xml:space="preserve"> =</t>
    </r>
  </si>
  <si>
    <r>
      <t>I</t>
    </r>
    <r>
      <rPr>
        <sz val="6"/>
        <rFont val="Times New Roman"/>
        <family val="1"/>
      </rPr>
      <t xml:space="preserve">G </t>
    </r>
    <r>
      <rPr>
        <sz val="10"/>
        <rFont val="Times New Roman"/>
        <family val="1"/>
      </rPr>
      <t>=</t>
    </r>
  </si>
  <si>
    <r>
      <t>x</t>
    </r>
    <r>
      <rPr>
        <sz val="6"/>
        <rFont val="Times New Roman"/>
        <family val="1"/>
      </rPr>
      <t>0RR</t>
    </r>
    <r>
      <rPr>
        <sz val="10"/>
        <rFont val="Times New Roman"/>
        <family val="1"/>
      </rPr>
      <t xml:space="preserve"> =</t>
    </r>
  </si>
  <si>
    <r>
      <t>x</t>
    </r>
    <r>
      <rPr>
        <sz val="6"/>
        <rFont val="Times New Roman"/>
        <family val="1"/>
      </rPr>
      <t>RR</t>
    </r>
    <r>
      <rPr>
        <sz val="10"/>
        <rFont val="Times New Roman"/>
        <family val="1"/>
      </rPr>
      <t xml:space="preserve"> =</t>
    </r>
  </si>
  <si>
    <r>
      <t>Determinare</t>
    </r>
    <r>
      <rPr>
        <sz val="10"/>
        <rFont val="Times New Roman"/>
        <family val="1"/>
      </rPr>
      <t xml:space="preserve"> la spinta sulla superficie piana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e la posizione del corrispondente centro di spinta. </t>
    </r>
  </si>
  <si>
    <r>
      <t xml:space="preserve">Oppure, tramite il </t>
    </r>
    <r>
      <rPr>
        <i/>
        <sz val="10"/>
        <rFont val="Times New Roman"/>
        <family val="1"/>
      </rPr>
      <t>metodo delle componenti.</t>
    </r>
  </si>
  <si>
    <r>
      <t>S</t>
    </r>
    <r>
      <rPr>
        <sz val="6"/>
        <rFont val="Times New Roman"/>
        <family val="1"/>
      </rPr>
      <t xml:space="preserve"> RR x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*1/2*h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*L =</t>
    </r>
  </si>
  <si>
    <r>
      <t xml:space="preserve">           S</t>
    </r>
    <r>
      <rPr>
        <sz val="6"/>
        <rFont val="Times New Roman"/>
        <family val="1"/>
      </rPr>
      <t xml:space="preserve"> RR z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*1/2*h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*tg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*L =</t>
    </r>
  </si>
  <si>
    <t>Esercizio 13</t>
  </si>
  <si>
    <r>
      <t>S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</si>
  <si>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</si>
  <si>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Times New Roman"/>
        <family val="1"/>
      </rPr>
      <t xml:space="preserve"> z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</si>
  <si>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Gx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</t>
    </r>
  </si>
  <si>
    <r>
      <t>p</t>
    </r>
    <r>
      <rPr>
        <sz val="6"/>
        <rFont val="Times New Roman"/>
        <family val="1"/>
      </rPr>
      <t>Gx</t>
    </r>
    <r>
      <rPr>
        <sz val="10"/>
        <rFont val="Times New Roman"/>
        <family val="1"/>
      </rPr>
      <t xml:space="preserve"> =</t>
    </r>
  </si>
  <si>
    <r>
      <t xml:space="preserve">     S</t>
    </r>
    <r>
      <rPr>
        <sz val="6"/>
        <rFont val="Times New Roman"/>
        <family val="1"/>
      </rPr>
      <t xml:space="preserve"> z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*[1/2*D*cos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*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*D*sen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/2*D/2+</t>
    </r>
    <r>
      <rPr>
        <sz val="10"/>
        <rFont val="Symbol"/>
        <family val="1"/>
      </rPr>
      <t>p</t>
    </r>
    <r>
      <rPr>
        <sz val="10"/>
        <rFont val="Times New Roman"/>
        <family val="1"/>
      </rPr>
      <t>*D*sen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/2*D/2*(h-D*cos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)] =</t>
    </r>
  </si>
  <si>
    <r>
      <t>Determinare</t>
    </r>
    <r>
      <rPr>
        <sz val="10"/>
        <rFont val="Times New Roman"/>
        <family val="1"/>
      </rPr>
      <t xml:space="preserve"> la spinta sul fondo del recipiente e la posizione del corrispondente centro di spinta. </t>
    </r>
  </si>
  <si>
    <t>Esercizio 14 (Tema d'esame del 22 Luglio 2003)</t>
  </si>
  <si>
    <r>
      <t>Determinare</t>
    </r>
    <r>
      <rPr>
        <sz val="10"/>
        <rFont val="Times New Roman"/>
        <family val="1"/>
      </rPr>
      <t xml:space="preserve"> il verso e il modulo della forza </t>
    </r>
    <r>
      <rPr>
        <b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che mantiene in equilibrio il setto prismatico di traccia </t>
    </r>
    <r>
      <rPr>
        <b/>
        <sz val="10"/>
        <rFont val="Times New Roman"/>
        <family val="1"/>
      </rPr>
      <t>RR</t>
    </r>
    <r>
      <rPr>
        <sz val="10"/>
        <rFont val="Times New Roman"/>
        <family val="1"/>
      </rPr>
      <t xml:space="preserve"> e l'indicazione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del </t>
    </r>
  </si>
  <si>
    <t>manometro differenziale.</t>
  </si>
  <si>
    <r>
      <t>h</t>
    </r>
    <r>
      <rPr>
        <vertAlign val="subscript"/>
        <sz val="10"/>
        <color indexed="12"/>
        <rFont val="Times New Roman"/>
        <family val="1"/>
      </rPr>
      <t>G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H-h</t>
    </r>
    <r>
      <rPr>
        <sz val="6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-h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>/2-h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>/4 =</t>
    </r>
  </si>
  <si>
    <r>
      <t>p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</t>
    </r>
    <r>
      <rPr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>*h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</si>
  <si>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S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p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>*A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</si>
  <si>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x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h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</si>
  <si>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M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x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>*A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</si>
  <si>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I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(1/12)*(h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>/2)</t>
    </r>
    <r>
      <rPr>
        <vertAlign val="superscript"/>
        <sz val="10"/>
        <color indexed="12"/>
        <rFont val="Times New Roman"/>
        <family val="1"/>
      </rPr>
      <t>3</t>
    </r>
    <r>
      <rPr>
        <sz val="10"/>
        <color indexed="12"/>
        <rFont val="Times New Roman"/>
        <family val="1"/>
      </rPr>
      <t>*L =</t>
    </r>
  </si>
  <si>
    <r>
      <t>x</t>
    </r>
    <r>
      <rPr>
        <vertAlign val="subscript"/>
        <sz val="10"/>
        <color indexed="12"/>
        <rFont val="Times New Roman"/>
        <family val="1"/>
      </rPr>
      <t>0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I</t>
    </r>
    <r>
      <rPr>
        <vertAlign val="subscript"/>
        <sz val="10"/>
        <color indexed="12"/>
        <rFont val="Times New Roman"/>
        <family val="1"/>
      </rPr>
      <t>G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>/M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</si>
  <si>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b</t>
    </r>
    <r>
      <rPr>
        <sz val="6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 h</t>
    </r>
    <r>
      <rPr>
        <sz val="6"/>
        <color indexed="12"/>
        <rFont val="Times New Roman"/>
        <family val="1"/>
      </rPr>
      <t>1</t>
    </r>
    <r>
      <rPr>
        <sz val="10"/>
        <color indexed="12"/>
        <rFont val="Times New Roman"/>
        <family val="1"/>
      </rPr>
      <t>/4+</t>
    </r>
    <r>
      <rPr>
        <sz val="10"/>
        <color indexed="12"/>
        <rFont val="Symbol"/>
        <family val="1"/>
      </rPr>
      <t>x</t>
    </r>
    <r>
      <rPr>
        <vertAlign val="subscript"/>
        <sz val="10"/>
        <color indexed="12"/>
        <rFont val="Times New Roman"/>
        <family val="1"/>
      </rPr>
      <t>0</t>
    </r>
    <r>
      <rPr>
        <vertAlign val="subscript"/>
        <sz val="10"/>
        <color indexed="12"/>
        <rFont val="Symbol"/>
        <family val="1"/>
      </rPr>
      <t>g</t>
    </r>
    <r>
      <rPr>
        <sz val="10"/>
        <color indexed="12"/>
        <rFont val="Times New Roman"/>
        <family val="1"/>
      </rPr>
      <t xml:space="preserve"> =</t>
    </r>
  </si>
  <si>
    <r>
      <t>Determinazione dei P.C.I., di S</t>
    </r>
    <r>
      <rPr>
        <i/>
        <u val="single"/>
        <sz val="6"/>
        <color indexed="12"/>
        <rFont val="Symbol"/>
        <family val="1"/>
      </rPr>
      <t>g</t>
    </r>
    <r>
      <rPr>
        <i/>
        <u val="single"/>
        <sz val="10"/>
        <color indexed="12"/>
        <rFont val="Times New Roman"/>
        <family val="1"/>
      </rPr>
      <t xml:space="preserve">, di </t>
    </r>
    <r>
      <rPr>
        <i/>
        <u val="single"/>
        <sz val="10"/>
        <color indexed="12"/>
        <rFont val="Symbol"/>
        <family val="1"/>
      </rPr>
      <t>x</t>
    </r>
    <r>
      <rPr>
        <i/>
        <u val="single"/>
        <sz val="6"/>
        <color indexed="12"/>
        <rFont val="Symbol"/>
        <family val="1"/>
      </rPr>
      <t>g</t>
    </r>
    <r>
      <rPr>
        <i/>
        <u val="single"/>
        <sz val="10"/>
        <color indexed="12"/>
        <rFont val="Times New Roman"/>
        <family val="1"/>
      </rPr>
      <t xml:space="preserve"> e di b</t>
    </r>
    <r>
      <rPr>
        <i/>
        <u val="single"/>
        <sz val="6"/>
        <color indexed="12"/>
        <rFont val="Symbol"/>
        <family val="1"/>
      </rPr>
      <t>g</t>
    </r>
    <r>
      <rPr>
        <i/>
        <u val="single"/>
        <sz val="10"/>
        <color indexed="12"/>
        <rFont val="Times New Roman"/>
        <family val="1"/>
      </rPr>
      <t xml:space="preserve"> (braccio della spinta del liquido rispetto alla cerniera "superiore" </t>
    </r>
    <r>
      <rPr>
        <b/>
        <u val="single"/>
        <sz val="10"/>
        <color indexed="12"/>
        <rFont val="Times New Roman"/>
        <family val="1"/>
      </rPr>
      <t>R</t>
    </r>
    <r>
      <rPr>
        <i/>
        <u val="single"/>
        <sz val="10"/>
        <color indexed="12"/>
        <rFont val="Times New Roman"/>
        <family val="1"/>
      </rPr>
      <t>)</t>
    </r>
  </si>
  <si>
    <r>
      <t>Determinazione di S</t>
    </r>
    <r>
      <rPr>
        <i/>
        <u val="single"/>
        <sz val="6"/>
        <color indexed="16"/>
        <rFont val="Times New Roman"/>
        <family val="1"/>
      </rPr>
      <t xml:space="preserve">aria </t>
    </r>
    <r>
      <rPr>
        <i/>
        <u val="single"/>
        <sz val="10"/>
        <color indexed="16"/>
        <rFont val="Times New Roman"/>
        <family val="1"/>
      </rPr>
      <t>e b</t>
    </r>
    <r>
      <rPr>
        <i/>
        <u val="single"/>
        <sz val="6"/>
        <color indexed="16"/>
        <rFont val="Times New Roman"/>
        <family val="1"/>
      </rPr>
      <t>aria</t>
    </r>
    <r>
      <rPr>
        <i/>
        <u val="single"/>
        <sz val="10"/>
        <color indexed="16"/>
        <rFont val="Times New Roman"/>
        <family val="1"/>
      </rPr>
      <t xml:space="preserve"> (braccio della spinta dell'aria rispetto alla cerniera "superiore" </t>
    </r>
    <r>
      <rPr>
        <b/>
        <u val="single"/>
        <sz val="10"/>
        <color indexed="16"/>
        <rFont val="Times New Roman"/>
        <family val="1"/>
      </rPr>
      <t>R</t>
    </r>
    <r>
      <rPr>
        <i/>
        <u val="single"/>
        <sz val="10"/>
        <color indexed="16"/>
        <rFont val="Times New Roman"/>
        <family val="1"/>
      </rPr>
      <t>)</t>
    </r>
  </si>
  <si>
    <r>
      <t>Determinazione di S</t>
    </r>
    <r>
      <rPr>
        <i/>
        <u val="single"/>
        <sz val="6"/>
        <color indexed="20"/>
        <rFont val="Times New Roman"/>
        <family val="1"/>
      </rPr>
      <t>gas, vert.-orizz.</t>
    </r>
    <r>
      <rPr>
        <i/>
        <u val="single"/>
        <sz val="10"/>
        <color indexed="20"/>
        <rFont val="Times New Roman"/>
        <family val="1"/>
      </rPr>
      <t xml:space="preserve"> e b</t>
    </r>
    <r>
      <rPr>
        <i/>
        <u val="single"/>
        <sz val="6"/>
        <color indexed="20"/>
        <rFont val="Times New Roman"/>
        <family val="1"/>
      </rPr>
      <t>gas, vert-orizz.</t>
    </r>
    <r>
      <rPr>
        <i/>
        <u val="single"/>
        <sz val="10"/>
        <color indexed="20"/>
        <rFont val="Times New Roman"/>
        <family val="1"/>
      </rPr>
      <t xml:space="preserve"> (bracci delle spintea del gas rispetto alla cerniera "superiore" </t>
    </r>
    <r>
      <rPr>
        <b/>
        <u val="single"/>
        <sz val="10"/>
        <color indexed="20"/>
        <rFont val="Times New Roman"/>
        <family val="1"/>
      </rPr>
      <t>R</t>
    </r>
    <r>
      <rPr>
        <i/>
        <u val="single"/>
        <sz val="10"/>
        <color indexed="20"/>
        <rFont val="Times New Roman"/>
        <family val="1"/>
      </rPr>
      <t>)</t>
    </r>
  </si>
  <si>
    <r>
      <t xml:space="preserve">     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= (p</t>
    </r>
    <r>
      <rPr>
        <sz val="6"/>
        <rFont val="Times New Roman"/>
        <family val="1"/>
      </rPr>
      <t>DX-</t>
    </r>
    <r>
      <rPr>
        <sz val="10"/>
        <rFont val="Times New Roman"/>
        <family val="1"/>
      </rPr>
      <t>p</t>
    </r>
    <r>
      <rPr>
        <sz val="6"/>
        <rFont val="Times New Roman"/>
        <family val="1"/>
      </rPr>
      <t>SX)/</t>
    </r>
    <r>
      <rPr>
        <sz val="10"/>
        <rFont val="Symbol"/>
        <family val="1"/>
      </rPr>
      <t>g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=</t>
    </r>
  </si>
  <si>
    <r>
      <t xml:space="preserve">                           F = -[S</t>
    </r>
    <r>
      <rPr>
        <sz val="6"/>
        <rFont val="Times New Roman"/>
        <family val="1"/>
      </rPr>
      <t>gas, vert</t>
    </r>
    <r>
      <rPr>
        <sz val="10"/>
        <rFont val="Times New Roman"/>
        <family val="1"/>
      </rPr>
      <t>.*b</t>
    </r>
    <r>
      <rPr>
        <sz val="6"/>
        <rFont val="Times New Roman"/>
        <family val="1"/>
      </rPr>
      <t>gas, vert</t>
    </r>
    <r>
      <rPr>
        <sz val="10"/>
        <rFont val="Times New Roman"/>
        <family val="1"/>
      </rPr>
      <t>.+S</t>
    </r>
    <r>
      <rPr>
        <sz val="6"/>
        <rFont val="Times New Roman"/>
        <family val="1"/>
      </rPr>
      <t>gas, orizz.</t>
    </r>
    <r>
      <rPr>
        <sz val="10"/>
        <rFont val="Times New Roman"/>
        <family val="1"/>
      </rPr>
      <t>*b</t>
    </r>
    <r>
      <rPr>
        <sz val="6"/>
        <rFont val="Times New Roman"/>
        <family val="1"/>
      </rPr>
      <t>gas, orizz.</t>
    </r>
    <r>
      <rPr>
        <sz val="10"/>
        <rFont val="Times New Roman"/>
        <family val="1"/>
      </rPr>
      <t>-S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>*b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>-S</t>
    </r>
    <r>
      <rPr>
        <sz val="6"/>
        <rFont val="Symbol"/>
        <family val="1"/>
      </rPr>
      <t>g</t>
    </r>
    <r>
      <rPr>
        <sz val="10"/>
        <rFont val="Times New Roman"/>
        <family val="1"/>
      </rPr>
      <t>*b</t>
    </r>
    <r>
      <rPr>
        <sz val="6"/>
        <rFont val="Symbol"/>
        <family val="1"/>
      </rPr>
      <t>g</t>
    </r>
    <r>
      <rPr>
        <sz val="10"/>
        <rFont val="Times New Roman"/>
        <family val="1"/>
      </rPr>
      <t>]/h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</si>
  <si>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h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</si>
  <si>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>g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= (7800+20*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) =</t>
    </r>
  </si>
  <si>
    <r>
      <t>g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 =</t>
    </r>
  </si>
  <si>
    <r>
      <t>l</t>
    </r>
    <r>
      <rPr>
        <sz val="10"/>
        <rFont val="Times New Roman"/>
        <family val="1"/>
      </rPr>
      <t xml:space="preserve"> = (2.000+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/30) =</t>
    </r>
  </si>
  <si>
    <t>Determinazione dei P.C.I.</t>
  </si>
  <si>
    <r>
      <t xml:space="preserve">La parete di traccia </t>
    </r>
    <r>
      <rPr>
        <b/>
        <sz val="10"/>
        <color indexed="12"/>
        <rFont val="Times New Roman"/>
        <family val="1"/>
      </rPr>
      <t>AB</t>
    </r>
    <r>
      <rPr>
        <i/>
        <sz val="10"/>
        <color indexed="12"/>
        <rFont val="Times New Roman"/>
        <family val="1"/>
      </rPr>
      <t xml:space="preserve"> è soggetta ad un insieme di forze dovute al liquido di peso specifico </t>
    </r>
    <r>
      <rPr>
        <i/>
        <sz val="10"/>
        <color indexed="12"/>
        <rFont val="Symbol"/>
        <family val="1"/>
      </rPr>
      <t>g</t>
    </r>
    <r>
      <rPr>
        <i/>
        <sz val="6"/>
        <color indexed="12"/>
        <rFont val="Times New Roman"/>
        <family val="1"/>
      </rPr>
      <t>1</t>
    </r>
    <r>
      <rPr>
        <i/>
        <sz val="10"/>
        <color indexed="12"/>
        <rFont val="Times New Roman"/>
        <family val="1"/>
      </rPr>
      <t xml:space="preserve"> ed al gas. Dette forze infatti</t>
    </r>
  </si>
  <si>
    <r>
      <t xml:space="preserve">tendono a far aprire o chiudere "portello" </t>
    </r>
    <r>
      <rPr>
        <b/>
        <sz val="10"/>
        <color indexed="12"/>
        <rFont val="Times New Roman"/>
        <family val="1"/>
      </rPr>
      <t>AB</t>
    </r>
    <r>
      <rPr>
        <i/>
        <sz val="10"/>
        <color indexed="12"/>
        <rFont val="Times New Roman"/>
        <family val="1"/>
      </rPr>
      <t xml:space="preserve">; la forza </t>
    </r>
    <r>
      <rPr>
        <b/>
        <sz val="10"/>
        <color indexed="12"/>
        <rFont val="Times New Roman"/>
        <family val="1"/>
      </rPr>
      <t>F</t>
    </r>
    <r>
      <rPr>
        <i/>
        <sz val="10"/>
        <color indexed="12"/>
        <rFont val="Times New Roman"/>
        <family val="1"/>
      </rPr>
      <t xml:space="preserve"> serve dunque a garantire che detta parete non si muova.</t>
    </r>
  </si>
  <si>
    <r>
      <t xml:space="preserve">Per determinare le spinte agenti su </t>
    </r>
    <r>
      <rPr>
        <sz val="10"/>
        <color indexed="12"/>
        <rFont val="Times New Roman"/>
        <family val="1"/>
      </rPr>
      <t>AB</t>
    </r>
    <r>
      <rPr>
        <i/>
        <sz val="10"/>
        <color indexed="12"/>
        <rFont val="Times New Roman"/>
        <family val="1"/>
      </rPr>
      <t xml:space="preserve"> occorre dapprima ricavare le quote dei PCI dei due liquidi. Grazie ad esse sarà</t>
    </r>
  </si>
  <si>
    <r>
      <t>Z</t>
    </r>
    <r>
      <rPr>
        <b/>
        <sz val="6"/>
        <rFont val="Times New Roman"/>
        <family val="1"/>
      </rPr>
      <t>S</t>
    </r>
    <r>
      <rPr>
        <b/>
        <sz val="10"/>
        <rFont val="Times New Roman"/>
        <family val="1"/>
      </rPr>
      <t>-(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1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>+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H</t>
    </r>
    <r>
      <rPr>
        <b/>
        <sz val="6"/>
        <rFont val="Times New Roman"/>
        <family val="1"/>
      </rPr>
      <t>P</t>
    </r>
    <r>
      <rPr>
        <b/>
        <sz val="10"/>
        <rFont val="Symbol"/>
        <family val="1"/>
      </rPr>
      <t>-</t>
    </r>
    <r>
      <rPr>
        <b/>
        <sz val="10"/>
        <rFont val="Times New Roman"/>
        <family val="1"/>
      </rPr>
      <t>(</t>
    </r>
    <r>
      <rPr>
        <b/>
        <sz val="10"/>
        <rFont val="Symbol"/>
        <family val="1"/>
      </rPr>
      <t>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/D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)*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/(2*g*A</t>
    </r>
    <r>
      <rPr>
        <b/>
        <sz val="6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)*L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>-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>Q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/[2*g*(C</t>
    </r>
    <r>
      <rPr>
        <b/>
        <sz val="6"/>
        <rFont val="Times New Roman"/>
        <family val="1"/>
      </rPr>
      <t>C</t>
    </r>
    <r>
      <rPr>
        <b/>
        <sz val="10"/>
        <rFont val="Times New Roman"/>
        <family val="1"/>
      </rPr>
      <t>A</t>
    </r>
    <r>
      <rPr>
        <b/>
        <sz val="6"/>
        <rFont val="Times New Roman"/>
        <family val="1"/>
      </rPr>
      <t>U)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 = Z</t>
    </r>
    <r>
      <rPr>
        <b/>
        <sz val="6"/>
        <rFont val="Times New Roman"/>
        <family val="1"/>
      </rPr>
      <t>C</t>
    </r>
  </si>
  <si>
    <t>quindi la prevalenza totale superata dalla pompa risulta:</t>
  </si>
  <si>
    <r>
      <t xml:space="preserve">Per prima cosa bisogna individuare la posizione del PCI del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poiché è proprio a partire da questa da informazione che diventa </t>
    </r>
  </si>
  <si>
    <t>possibile conoscere lo stato di sforzo interno al sistema e quindi le risultanti di alcune distribuzioni di pressione; qui, in particolare, quelle</t>
  </si>
  <si>
    <t xml:space="preserve">corrispondenti alle spinte sulle superfici curve. </t>
  </si>
  <si>
    <r>
      <t xml:space="preserve">Nota la posizione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diventa agevole il calcolo di pressioni e spinte su ogni "regione" del sistema, specialmente sulle pareti.</t>
    </r>
  </si>
  <si>
    <r>
      <t>Si adotti quale v</t>
    </r>
    <r>
      <rPr>
        <i/>
        <sz val="10"/>
        <rFont val="Times New Roman"/>
        <family val="1"/>
      </rPr>
      <t>olume di controllo</t>
    </r>
    <r>
      <rPr>
        <sz val="10"/>
        <rFont val="Times New Roman"/>
        <family val="1"/>
      </rPr>
      <t xml:space="preserve"> (di solo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, "isolato" dal sistema reale) quello compreso all'interno della calotta. La </t>
    </r>
    <r>
      <rPr>
        <i/>
        <sz val="10"/>
        <rFont val="Times New Roman"/>
        <family val="1"/>
      </rPr>
      <t xml:space="preserve">superficie di </t>
    </r>
  </si>
  <si>
    <t>L'altezza cinetica alla sezione contratta vale:</t>
  </si>
  <si>
    <r>
      <t xml:space="preserve">                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/(2*g) = </t>
    </r>
  </si>
  <si>
    <r>
      <t xml:space="preserve">   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*{Z</t>
    </r>
    <r>
      <rPr>
        <sz val="6"/>
        <rFont val="Times New Roman"/>
        <family val="1"/>
      </rPr>
      <t>M</t>
    </r>
    <r>
      <rPr>
        <sz val="10"/>
        <rFont val="Times New Roman"/>
        <family val="1"/>
      </rPr>
      <t xml:space="preserve"> - [Z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/(2*g)+0.1*</t>
    </r>
    <r>
      <rPr>
        <sz val="10"/>
        <rFont val="Times New Roman"/>
        <family val="1"/>
      </rPr>
      <t>V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/(2*g)]} =</t>
    </r>
  </si>
  <si>
    <r>
      <t>A''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 xml:space="preserve"> = R L =</t>
    </r>
  </si>
  <si>
    <r>
      <t>●  componente S</t>
    </r>
    <r>
      <rPr>
        <sz val="6"/>
        <rFont val="Times New Roman"/>
        <family val="1"/>
      </rPr>
      <t>AB z</t>
    </r>
    <r>
      <rPr>
        <sz val="10"/>
        <rFont val="Times New Roman"/>
        <family val="1"/>
      </rPr>
      <t xml:space="preserve">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AB</t>
    </r>
    <r>
      <rPr>
        <sz val="10"/>
        <rFont val="Times New Roman"/>
        <family val="1"/>
      </rPr>
      <t>:</t>
    </r>
  </si>
  <si>
    <r>
      <t xml:space="preserve">           S</t>
    </r>
    <r>
      <rPr>
        <sz val="6"/>
        <rFont val="Times New Roman"/>
        <family val="1"/>
      </rPr>
      <t>AB 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A'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 xml:space="preserve"> =</t>
    </r>
  </si>
  <si>
    <r>
      <t xml:space="preserve">          S</t>
    </r>
    <r>
      <rPr>
        <sz val="6"/>
        <rFont val="Times New Roman"/>
        <family val="1"/>
      </rPr>
      <t>AB z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aria</t>
    </r>
    <r>
      <rPr>
        <sz val="10"/>
        <rFont val="Times New Roman"/>
        <family val="1"/>
      </rPr>
      <t xml:space="preserve"> A''</t>
    </r>
    <r>
      <rPr>
        <sz val="6"/>
        <rFont val="Times New Roman"/>
        <family val="1"/>
      </rPr>
      <t>AB</t>
    </r>
    <r>
      <rPr>
        <sz val="10"/>
        <rFont val="Times New Roman"/>
        <family val="1"/>
      </rPr>
      <t xml:space="preserve"> =</t>
    </r>
  </si>
  <si>
    <r>
      <t xml:space="preserve">Metodo delle componenti per il calcolo della spinta sulla calotta di traccia </t>
    </r>
    <r>
      <rPr>
        <b/>
        <i/>
        <u val="single"/>
        <sz val="10"/>
        <rFont val="Times New Roman"/>
        <family val="1"/>
      </rPr>
      <t>CD</t>
    </r>
  </si>
  <si>
    <r>
      <t>Non ci si faccia ingannare dal segno meno. Esso compare perché la pressione p</t>
    </r>
    <r>
      <rPr>
        <sz val="6"/>
        <color indexed="10"/>
        <rFont val="Times New Roman"/>
        <family val="1"/>
      </rPr>
      <t>B1</t>
    </r>
    <r>
      <rPr>
        <sz val="10"/>
        <color indexed="10"/>
        <rFont val="Times New Roman"/>
        <family val="1"/>
      </rPr>
      <t xml:space="preserve"> è negativa. In generale, però, i vettori non possono avere </t>
    </r>
  </si>
  <si>
    <r>
      <t>modulo negativo. Quindi, più correttamente bisognerebbe dire che S</t>
    </r>
    <r>
      <rPr>
        <sz val="6"/>
        <color indexed="10"/>
        <rFont val="Times New Roman"/>
        <family val="1"/>
      </rPr>
      <t>1 x</t>
    </r>
    <r>
      <rPr>
        <sz val="10"/>
        <color indexed="10"/>
        <rFont val="Times New Roman"/>
        <family val="1"/>
      </rPr>
      <t xml:space="preserve"> ha modulo di 34097 N. Lo stesso vale anche negli altri esercizi di questa </t>
    </r>
  </si>
  <si>
    <t>raccolta.</t>
  </si>
  <si>
    <r>
      <t xml:space="preserve">●  area "dell'ombra" piana della calotta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 xml:space="preserve"> proiettata su un piano verticale:</t>
    </r>
  </si>
  <si>
    <r>
      <t xml:space="preserve">●  area "dell'ombra" piana della calotta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proiettata su un piano orizzontale:</t>
    </r>
  </si>
  <si>
    <r>
      <t xml:space="preserve">●  area "dell'ombra" piana della calotta di traccia </t>
    </r>
    <r>
      <rPr>
        <b/>
        <sz val="10"/>
        <rFont val="Times New Roman"/>
        <family val="1"/>
      </rPr>
      <t>AB</t>
    </r>
    <r>
      <rPr>
        <sz val="10"/>
        <rFont val="Times New Roman"/>
        <family val="1"/>
      </rPr>
      <t xml:space="preserve"> proiettata su un piano verticale:</t>
    </r>
  </si>
  <si>
    <r>
      <t xml:space="preserve">       S</t>
    </r>
    <r>
      <rPr>
        <sz val="6"/>
        <rFont val="Times New Roman"/>
        <family val="1"/>
      </rPr>
      <t>CD x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B2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</si>
  <si>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La componente verticale S</t>
    </r>
    <r>
      <rPr>
        <sz val="6"/>
        <rFont val="Times New Roman"/>
        <family val="1"/>
      </rPr>
      <t>CD z</t>
    </r>
    <r>
      <rPr>
        <sz val="10"/>
        <rFont val="Times New Roman"/>
        <family val="1"/>
      </rPr>
      <t xml:space="preserve"> corrisponde invece al peso del volume liquido immaginato compreso tra la calotta ed il PCI del fluido.</t>
    </r>
  </si>
  <si>
    <t>CD va considerato "diretto verso l'alto", poichè le componenti verticali</t>
  </si>
  <si>
    <t>delle pressioni agenti sulla calotta hanno il verso concorde con quello</t>
  </si>
  <si>
    <t>dell'asse z.</t>
  </si>
  <si>
    <r>
      <t>La sua retta d'azione verticale passa per il baricentro di W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>.</t>
    </r>
  </si>
  <si>
    <r>
      <t>W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10"/>
        <rFont val="Times New Roman"/>
        <family val="1"/>
      </rPr>
      <t xml:space="preserve"> (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h</t>
    </r>
    <r>
      <rPr>
        <sz val="6"/>
        <rFont val="Times New Roman"/>
        <family val="1"/>
      </rPr>
      <t>E</t>
    </r>
    <r>
      <rPr>
        <sz val="10"/>
        <color indexed="10"/>
        <rFont val="Times New Roman"/>
        <family val="1"/>
      </rPr>
      <t>|</t>
    </r>
    <r>
      <rPr>
        <sz val="10"/>
        <rFont val="Times New Roman"/>
        <family val="1"/>
      </rPr>
      <t>-h)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 L - 1/4 </t>
    </r>
    <r>
      <rPr>
        <sz val="10"/>
        <rFont val="Symbol"/>
        <family val="1"/>
      </rPr>
      <t xml:space="preserve">p </t>
    </r>
    <r>
      <rPr>
        <sz val="10"/>
        <rFont val="Times New Roman"/>
        <family val="1"/>
      </rPr>
      <t>R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L</t>
    </r>
    <r>
      <rPr>
        <sz val="9"/>
        <rFont val="Times New Roman"/>
        <family val="1"/>
      </rPr>
      <t xml:space="preserve"> =</t>
    </r>
  </si>
  <si>
    <r>
      <t xml:space="preserve">        P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W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=</t>
    </r>
  </si>
  <si>
    <r>
      <t xml:space="preserve">              S</t>
    </r>
    <r>
      <rPr>
        <sz val="6"/>
        <rFont val="Times New Roman"/>
        <family val="1"/>
      </rPr>
      <t>CD z</t>
    </r>
    <r>
      <rPr>
        <sz val="10"/>
        <rFont val="Times New Roman"/>
        <family val="1"/>
      </rPr>
      <t xml:space="preserve"> =  P</t>
    </r>
    <r>
      <rPr>
        <sz val="6"/>
        <rFont val="Times New Roman"/>
        <family val="1"/>
      </rPr>
      <t>CD</t>
    </r>
    <r>
      <rPr>
        <sz val="10"/>
        <rFont val="Times New Roman"/>
        <family val="1"/>
      </rPr>
      <t xml:space="preserve"> =</t>
    </r>
  </si>
  <si>
    <t>Ne consegue il modulo:</t>
  </si>
  <si>
    <t>sarà parallela alla linea del carico totale laddove il moto è uniforme ed in prossimità dell'imbocco si raccorderà alla</t>
  </si>
  <si>
    <t>superficie libera del serbatoio di monte con un tratto qualitativo che indicherà l'incremento di velocità nella direzione</t>
  </si>
  <si>
    <r>
      <t>potenziale e corrisponde a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. Infatti esso non è in imovimento (o quasi) e quindi non possiede energia cinetica; inoltre</t>
    </r>
  </si>
  <si>
    <t>interno alla stessa. La linea del carico totale per questa traiettoria coinciderà con l'energia posseduta dall'unità di peso</t>
  </si>
  <si>
    <r>
      <t xml:space="preserve">del fluido nel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e quindi sarà un'orizzontale di quota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tracciata da monte verso valle.</t>
    </r>
  </si>
  <si>
    <r>
      <t>Partendo invece da valle, alla quota Z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 xml:space="preserve"> al di sopra del punto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, avverrà il tracciamento della </t>
    </r>
    <r>
      <rPr>
        <i/>
        <sz val="10"/>
        <rFont val="Times New Roman"/>
        <family val="1"/>
      </rPr>
      <t>linea piezometrica</t>
    </r>
    <r>
      <rPr>
        <sz val="10"/>
        <rFont val="Times New Roman"/>
        <family val="1"/>
      </rPr>
      <t>. Essa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</si>
  <si>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B</t>
    </r>
  </si>
  <si>
    <r>
      <t>H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A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</si>
  <si>
    <r>
      <t>H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B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B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</si>
  <si>
    <t>I trinomi si specificano con i passaggi che seguono:</t>
  </si>
  <si>
    <r>
      <t>p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</t>
    </r>
  </si>
  <si>
    <r>
      <t>u</t>
    </r>
    <r>
      <rPr>
        <sz val="6"/>
        <rFont val="Times New Roman"/>
        <family val="1"/>
      </rPr>
      <t xml:space="preserve">A  </t>
    </r>
    <r>
      <rPr>
        <sz val="10"/>
        <rFont val="Times New Roman"/>
        <family val="1"/>
      </rPr>
      <t>=</t>
    </r>
  </si>
  <si>
    <t>(o quasi)</t>
  </si>
  <si>
    <r>
      <t xml:space="preserve">          Z</t>
    </r>
    <r>
      <rPr>
        <sz val="6"/>
        <rFont val="Times New Roman"/>
        <family val="1"/>
      </rPr>
      <t xml:space="preserve">B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0</t>
    </r>
  </si>
  <si>
    <r>
      <t xml:space="preserve">perché il punto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si trova alla stessa pressione del fluido presente nel serbatoio alla stessa</t>
    </r>
  </si>
  <si>
    <t>quota. Esso, però, a differenza del fluido fermo è dotato di energia cinetica e questo è il motivo</t>
  </si>
  <si>
    <r>
      <t>u</t>
    </r>
    <r>
      <rPr>
        <sz val="6"/>
        <rFont val="Times New Roman"/>
        <family val="1"/>
      </rPr>
      <t>B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 =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</si>
  <si>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Ne consegue la relazione:</t>
  </si>
  <si>
    <r>
      <t>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0 </t>
    </r>
    <r>
      <rPr>
        <sz val="10"/>
        <rFont val="Times New Roman"/>
        <family val="1"/>
      </rPr>
      <t>+ 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 A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</si>
  <si>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           A = </t>
    </r>
    <r>
      <rPr>
        <sz val="10"/>
        <rFont val="Symbol"/>
        <family val="1"/>
      </rPr>
      <t>p</t>
    </r>
    <r>
      <rPr>
        <sz val="10"/>
        <rFont val="Times New Roman"/>
        <family val="1"/>
      </rPr>
      <t xml:space="preserve"> 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 =</t>
    </r>
  </si>
  <si>
    <t>nella quale Q è l'unica incognita e quindi risolvendo rispetto ad essa si ottiene:</t>
  </si>
  <si>
    <r>
      <t xml:space="preserve">            Q = A [2 g (Z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- Z</t>
    </r>
    <r>
      <rPr>
        <sz val="6"/>
        <rFont val="Times New Roman"/>
        <family val="1"/>
      </rPr>
      <t>0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 xml:space="preserve"> =</t>
    </r>
  </si>
  <si>
    <r>
      <t xml:space="preserve">Si immagini ora una traiettoria che porti dal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ad un punto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nella sezione di sbocco della condotta, ma ancora</t>
    </r>
  </si>
  <si>
    <r>
      <t xml:space="preserve">Giusto per curiosità, si immagini ora una traiettoria che porti da un punto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interno al serbatoio di monte ad un punto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</t>
    </r>
  </si>
  <si>
    <r>
      <t xml:space="preserve">nella sezione di sbocco della condotta (la stessa che comprende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), ma ancora interno alla stessa. Anche per questa </t>
    </r>
  </si>
  <si>
    <r>
      <t xml:space="preserve">traiettoria la linea del carico totale coinciderà con l'energia posseduta dall'unità di peso del fluido nel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e quindi</t>
    </r>
  </si>
  <si>
    <r>
      <t>e quindi sarà un'orizzontale di quota Z</t>
    </r>
    <r>
      <rPr>
        <sz val="6"/>
        <rFont val="Times New Roman"/>
        <family val="1"/>
      </rPr>
      <t>A</t>
    </r>
    <r>
      <rPr>
        <sz val="10"/>
        <rFont val="Times New Roman"/>
        <family val="1"/>
      </rPr>
      <t xml:space="preserve"> tracciata da monte verso valle. Questo accade perché l'energia meccanica totale</t>
    </r>
  </si>
  <si>
    <r>
      <t xml:space="preserve">nel punto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è la stessa del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. L'unica differenza è che nel punto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essa è in parte potenziale ed in parte di pressione</t>
    </r>
  </si>
  <si>
    <r>
      <t xml:space="preserve">mentre nel punto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è soltanto del primo tipo. Dimostriamolo:</t>
    </r>
  </si>
  <si>
    <r>
      <t xml:space="preserve">             H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C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+ u</t>
    </r>
    <r>
      <rPr>
        <sz val="6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 g)</t>
    </r>
  </si>
  <si>
    <t>ma</t>
  </si>
  <si>
    <t>ed inoltre</t>
  </si>
  <si>
    <r>
      <t xml:space="preserve">           </t>
    </r>
    <r>
      <rPr>
        <sz val="10"/>
        <rFont val="Times New Roman"/>
        <family val="1"/>
      </rPr>
      <t>Z</t>
    </r>
    <r>
      <rPr>
        <sz val="6"/>
        <rFont val="Times New Roman"/>
        <family val="1"/>
      </rPr>
      <t xml:space="preserve">C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A</t>
    </r>
  </si>
  <si>
    <t>(legge di Stevin)</t>
  </si>
  <si>
    <r>
      <t xml:space="preserve">             H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 xml:space="preserve">C </t>
    </r>
    <r>
      <rPr>
        <sz val="10"/>
        <rFont val="Times New Roman"/>
        <family val="1"/>
      </rPr>
      <t>+ p</t>
    </r>
    <r>
      <rPr>
        <sz val="6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 Z</t>
    </r>
    <r>
      <rPr>
        <sz val="6"/>
        <rFont val="Times New Roman"/>
        <family val="1"/>
      </rPr>
      <t>A</t>
    </r>
  </si>
  <si>
    <r>
      <t xml:space="preserve">Si cominci con la determinazione della spinta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esercitata dal gas sulla parte della parete </t>
    </r>
    <r>
      <rPr>
        <b/>
        <sz val="10"/>
        <rFont val="Times New Roman"/>
        <family val="1"/>
      </rPr>
      <t>PQ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da esso premuta.</t>
    </r>
  </si>
  <si>
    <r>
      <t>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n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[Pa] =</t>
    </r>
  </si>
  <si>
    <r>
      <t>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A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</t>
    </r>
  </si>
  <si>
    <r>
      <t xml:space="preserve">La retta d'azione di questo vettore passa per il baricentro </t>
    </r>
    <r>
      <rPr>
        <b/>
        <sz val="10"/>
        <rFont val="Times New Roman"/>
        <family val="1"/>
      </rPr>
      <t>G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>, nella posizione</t>
    </r>
  </si>
  <si>
    <r>
      <t xml:space="preserve">La ricerca della posizione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richiede la determinazione della pressione in un punto I dell'interfaccia tra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e il gas. Qui la pressione è</t>
    </r>
  </si>
  <si>
    <r>
      <t>ancora pari a n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 xml:space="preserve"> e quindi, operando con i Pascal, la quota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rispetto all'interfaccia risulta calcolabile come:</t>
    </r>
  </si>
  <si>
    <r>
      <t>h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>/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</si>
  <si>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Con questa informazione diventa veramente "routinario" il calcolo del modulo di 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</si>
  <si>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affondamento del baricentro </t>
    </r>
    <r>
      <rPr>
        <b/>
        <sz val="10"/>
        <rFont val="Times New Roman"/>
        <family val="1"/>
      </rPr>
      <t>G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parte di superficie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rispetto</t>
    </r>
  </si>
  <si>
    <r>
      <t xml:space="preserve">       h</t>
    </r>
    <r>
      <rPr>
        <sz val="6"/>
        <rFont val="Times New Roman"/>
        <family val="1"/>
      </rPr>
      <t>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h</t>
    </r>
    <r>
      <rPr>
        <sz val="6"/>
        <rFont val="Times New Roman"/>
        <family val="1"/>
      </rPr>
      <t>I</t>
    </r>
    <r>
      <rPr>
        <sz val="10"/>
        <rFont val="Times New Roman"/>
        <family val="1"/>
      </rPr>
      <t>+h/2 =</t>
    </r>
  </si>
  <si>
    <r>
      <t xml:space="preserve">pressione nel baricentro </t>
    </r>
    <r>
      <rPr>
        <b/>
        <sz val="10"/>
        <rFont val="Times New Roman"/>
        <family val="1"/>
      </rPr>
      <t>G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</si>
  <si>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>p</t>
    </r>
    <r>
      <rPr>
        <sz val="6"/>
        <rFont val="Times New Roman"/>
        <family val="1"/>
      </rPr>
      <t>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h</t>
    </r>
    <r>
      <rPr>
        <sz val="6"/>
        <rFont val="Times New Roman"/>
        <family val="1"/>
      </rPr>
      <t>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</si>
  <si>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S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p</t>
    </r>
    <r>
      <rPr>
        <sz val="6"/>
        <rFont val="Times New Roman"/>
        <family val="1"/>
      </rPr>
      <t>G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A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</si>
  <si>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Poiché, come si è detto, le forze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</t>
    </r>
    <r>
      <rPr>
        <b/>
        <sz val="10"/>
        <rFont val="Times New Roman"/>
        <family val="1"/>
      </rPr>
      <t xml:space="preserve"> 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sono parallele ed equiverse, il modulo della spinta risultante su </t>
    </r>
    <r>
      <rPr>
        <b/>
        <sz val="10"/>
        <rFont val="Times New Roman"/>
        <family val="1"/>
      </rPr>
      <t>PQ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risulta pari a:</t>
    </r>
  </si>
  <si>
    <r>
      <t>S</t>
    </r>
    <r>
      <rPr>
        <sz val="6"/>
        <rFont val="Times New Roman"/>
        <family val="1"/>
      </rPr>
      <t>PQ</t>
    </r>
    <r>
      <rPr>
        <sz val="10"/>
        <rFont val="Times New Roman"/>
        <family val="1"/>
      </rPr>
      <t xml:space="preserve"> = S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>+S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</si>
  <si>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polo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>. In altre parole, occorre determinare il braccio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della forza risultante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rispetto a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. </t>
    </r>
  </si>
  <si>
    <r>
      <t>occorre ridurre il sistema di due forze (</t>
    </r>
    <r>
      <rPr>
        <b/>
        <sz val="10"/>
        <rFont val="Times New Roman"/>
        <family val="1"/>
      </rPr>
      <t>S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, e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), con i loro momenti rispetto a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 xml:space="preserve">, ad un'unica forza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PQ</t>
    </r>
    <r>
      <rPr>
        <sz val="10"/>
        <rFont val="Times New Roman"/>
        <family val="1"/>
      </rPr>
      <t xml:space="preserve"> con il suo braccio rispetto al medesimo</t>
    </r>
  </si>
  <si>
    <r>
      <t xml:space="preserve">Per conoscere la posizione della retta d'azione di questo risultante, ad esempio rispetto al fondo del recipiente (punto </t>
    </r>
    <r>
      <rPr>
        <b/>
        <sz val="10"/>
        <rFont val="Times New Roman"/>
        <family val="1"/>
      </rPr>
      <t>Q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nella traccia del disegno)</t>
    </r>
  </si>
  <si>
    <r>
      <t xml:space="preserve">previa individuazione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per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.</t>
    </r>
  </si>
  <si>
    <r>
      <t xml:space="preserve">Naturalmente, le "mosse" che portano al calcolo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sono sempre le stesse:</t>
    </r>
  </si>
  <si>
    <r>
      <t>Quindi, per determinare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S</t>
    </r>
    <r>
      <rPr>
        <vertAlign val="subscript"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occorre prima conoscere i bracci b</t>
    </r>
    <r>
      <rPr>
        <vertAlign val="superscript"/>
        <sz val="10"/>
        <rFont val="Times New Roman"/>
        <family val="1"/>
      </rPr>
      <t>Q</t>
    </r>
    <r>
      <rPr>
        <sz val="6"/>
        <rFont val="Times New Roman"/>
        <family val="1"/>
      </rPr>
      <t>g</t>
    </r>
    <r>
      <rPr>
        <sz val="10"/>
        <rFont val="Times New Roman"/>
        <family val="1"/>
      </rPr>
      <t xml:space="preserve"> e b</t>
    </r>
    <r>
      <rPr>
        <vertAlign val="superscript"/>
        <sz val="10"/>
        <rFont val="Times New Roman"/>
        <family val="1"/>
      </rPr>
      <t>Q</t>
    </r>
    <r>
      <rPr>
        <sz val="6"/>
        <rFont val="Symbol"/>
        <family val="1"/>
      </rPr>
      <t>g</t>
    </r>
    <r>
      <rPr>
        <sz val="10"/>
        <rFont val="Times New Roman"/>
        <family val="1"/>
      </rPr>
      <t>, i quali possono essere individuati molto semplicemente per il gas e</t>
    </r>
  </si>
  <si>
    <r>
      <t>calcolo della coordinata 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 baricentro </t>
    </r>
    <r>
      <rPr>
        <b/>
        <sz val="10"/>
        <rFont val="Times New Roman"/>
        <family val="1"/>
      </rPr>
      <t>G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della parete lambita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, misurata </t>
    </r>
  </si>
  <si>
    <r>
      <t>calcolo del momento statico M</t>
    </r>
    <r>
      <rPr>
        <vertAlign val="subscript"/>
        <sz val="6"/>
        <rFont val="Symbol"/>
        <family val="1"/>
      </rPr>
      <t xml:space="preserve">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della superficie premuta da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:</t>
    </r>
  </si>
  <si>
    <r>
      <t xml:space="preserve">calcolo di </t>
    </r>
    <r>
      <rPr>
        <sz val="10"/>
        <rFont val="Symbol"/>
        <family val="1"/>
      </rPr>
      <t>x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</si>
  <si>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>x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I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/M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</si>
  <si>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 xml:space="preserve">         x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= x</t>
    </r>
    <r>
      <rPr>
        <sz val="6"/>
        <rFont val="Times New Roman"/>
        <family val="1"/>
      </rPr>
      <t xml:space="preserve">G </t>
    </r>
    <r>
      <rPr>
        <sz val="6"/>
        <rFont val="Symbol"/>
        <family val="1"/>
      </rPr>
      <t>g</t>
    </r>
    <r>
      <rPr>
        <sz val="10"/>
        <rFont val="Times New Roman"/>
        <family val="1"/>
      </rPr>
      <t>+</t>
    </r>
    <r>
      <rPr>
        <sz val="10"/>
        <rFont val="Symbol"/>
        <family val="1"/>
      </rPr>
      <t>x</t>
    </r>
    <r>
      <rPr>
        <sz val="6"/>
        <rFont val="Times New Roman"/>
        <family val="1"/>
      </rPr>
      <t xml:space="preserve">0 </t>
    </r>
    <r>
      <rPr>
        <sz val="6"/>
        <rFont val="Symbol"/>
        <family val="1"/>
      </rPr>
      <t>g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</si>
  <si>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 xml:space="preserve">Anticipando gli esiti, risulta che il serbatoio è in parte in pressione (parte "bassa") ed in parte in depressione (parte "alta") poiché il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</t>
    </r>
  </si>
  <si>
    <r>
      <t xml:space="preserve">taglia l'altezza compresa tra </t>
    </r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Q</t>
    </r>
    <r>
      <rPr>
        <sz val="10"/>
        <rFont val="Times New Roman"/>
        <family val="1"/>
      </rPr>
      <t>. Ci saranno quindi azioni contro la parete (nella parte "in pressione") e dalla parete verso il fluido (per la parte</t>
    </r>
  </si>
  <si>
    <r>
      <t xml:space="preserve">"in depressione"). Anzitutto è chiaro che con </t>
    </r>
    <r>
      <rPr>
        <i/>
        <sz val="10"/>
        <rFont val="Times New Roman"/>
        <family val="1"/>
      </rPr>
      <t>n</t>
    </r>
    <r>
      <rPr>
        <vertAlign val="subscript"/>
        <sz val="6"/>
        <rFont val="Times New Roman"/>
        <family val="1"/>
      </rPr>
      <t xml:space="preserve"> 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&lt; 0 il gas sarà in depressione. A partire da questa informazione bisogna individuare la posizione</t>
    </r>
  </si>
  <si>
    <r>
      <t xml:space="preserve"> G</t>
    </r>
    <r>
      <rPr>
        <vertAlign val="superscript"/>
        <sz val="10"/>
        <rFont val="Times New Roman"/>
        <family val="1"/>
      </rPr>
      <t>+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e G</t>
    </r>
    <r>
      <rPr>
        <vertAlign val="superscript"/>
        <sz val="10"/>
        <rFont val="Times New Roman"/>
        <family val="1"/>
      </rPr>
      <t>-</t>
    </r>
    <r>
      <rPr>
        <sz val="6"/>
        <rFont val="Symbol"/>
        <family val="1"/>
      </rPr>
      <t>g</t>
    </r>
    <r>
      <rPr>
        <sz val="10"/>
        <rFont val="Times New Roman"/>
        <family val="1"/>
      </rPr>
      <t xml:space="preserve"> delle parti di superficie </t>
    </r>
    <r>
      <rPr>
        <b/>
        <sz val="10"/>
        <rFont val="Times New Roman"/>
        <family val="1"/>
      </rPr>
      <t>PQ</t>
    </r>
    <r>
      <rPr>
        <sz val="10"/>
        <rFont val="Times New Roman"/>
        <family val="1"/>
      </rPr>
      <t xml:space="preserve"> lambite rispettivamente da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in pressione e da fluido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in depressione.</t>
    </r>
  </si>
  <si>
    <r>
      <t xml:space="preserve">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. Nota questa sarà possibile calcolare la pressione in ogni punto del sistema occupato dal liquido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>, ed in particolare nei baricentri</t>
    </r>
  </si>
  <si>
    <t>dirette dalla parete verso l'interno del recipiente.</t>
  </si>
  <si>
    <r>
      <t xml:space="preserve">Le spinte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esercitate dal liquido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e quella </t>
    </r>
    <r>
      <rPr>
        <b/>
        <sz val="10"/>
        <rFont val="Times New Roman"/>
        <family val="1"/>
      </rPr>
      <t>S</t>
    </r>
    <r>
      <rPr>
        <b/>
        <sz val="6"/>
        <rFont val="Times New Roman"/>
        <family val="1"/>
      </rPr>
      <t>g</t>
    </r>
    <r>
      <rPr>
        <sz val="10"/>
        <rFont val="Times New Roman"/>
        <family val="1"/>
      </rPr>
      <t xml:space="preserve"> esercitata dal gas saranno orizzontali con le ultime due anche equiverse, ovvero entrambe</t>
    </r>
  </si>
  <si>
    <r>
      <t>p</t>
    </r>
    <r>
      <rPr>
        <sz val="6"/>
        <rFont val="Times New Roman"/>
        <family val="1"/>
      </rPr>
      <t>gas</t>
    </r>
    <r>
      <rPr>
        <sz val="10"/>
        <rFont val="Times New Roman"/>
        <family val="1"/>
      </rPr>
      <t xml:space="preserve"> = n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[Pa] =</t>
    </r>
  </si>
  <si>
    <r>
      <t>ancora pari a n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e quindi, operando con i Pascal, la quota del PCI di </t>
    </r>
    <r>
      <rPr>
        <sz val="10"/>
        <rFont val="Symbol"/>
        <family val="1"/>
      </rPr>
      <t>g</t>
    </r>
    <r>
      <rPr>
        <sz val="10"/>
        <rFont val="Times New Roman"/>
        <family val="1"/>
      </rPr>
      <t xml:space="preserve"> rispetto all'interfaccia risulta calcolabile come:</t>
    </r>
  </si>
  <si>
    <r>
      <t xml:space="preserve">Con questa informazione, facendo attenzione agli affondamenti "negativi",  è possibile calcolare i moduli di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+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-</t>
    </r>
    <r>
      <rPr>
        <b/>
        <sz val="6"/>
        <rFont val="Symbol"/>
        <family val="1"/>
      </rPr>
      <t>g</t>
    </r>
    <r>
      <rPr>
        <sz val="10"/>
        <rFont val="Times New Roman"/>
        <family val="1"/>
      </rPr>
      <t>:</t>
    </r>
  </si>
  <si>
    <r>
      <t>Il regime è turbolento di transizione (</t>
    </r>
    <r>
      <rPr>
        <i/>
        <sz val="10"/>
        <rFont val="Times New Roman"/>
        <family val="1"/>
      </rPr>
      <t>RTT</t>
    </r>
    <r>
      <rPr>
        <sz val="10"/>
        <rFont val="Times New Roman"/>
        <family val="1"/>
      </rPr>
      <t>).</t>
    </r>
  </si>
  <si>
    <r>
      <t xml:space="preserve">                    J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= (</t>
    </r>
    <r>
      <rPr>
        <sz val="10"/>
        <rFont val="Symbol"/>
        <family val="1"/>
      </rPr>
      <t>l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/D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)*V</t>
    </r>
    <r>
      <rPr>
        <sz val="6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</si>
  <si>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Perdite continue e localizzate (posto 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 xml:space="preserve"> = 1) valgono rispettivamente: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</si>
  <si>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 =</t>
    </r>
  </si>
  <si>
    <r>
      <t>J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*L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'' =</t>
    </r>
  </si>
  <si>
    <r>
      <t>(V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>-V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</si>
  <si>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0,5*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</si>
  <si>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>x</t>
    </r>
    <r>
      <rPr>
        <sz val="10"/>
        <rFont val="Times New Roman"/>
        <family val="1"/>
      </rPr>
      <t>*</t>
    </r>
    <r>
      <rPr>
        <sz val="10"/>
        <rFont val="Times New Roman"/>
        <family val="1"/>
      </rPr>
      <t>V</t>
    </r>
    <r>
      <rPr>
        <sz val="6"/>
        <rFont val="Times New Roman"/>
        <family val="1"/>
      </rPr>
      <t>1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/(2*g) =</t>
    </r>
  </si>
  <si>
    <r>
      <t xml:space="preserve">Dunque, la prevalenza </t>
    </r>
    <r>
      <rPr>
        <i/>
        <sz val="10"/>
        <rFont val="Symbol"/>
        <family val="1"/>
      </rPr>
      <t>D</t>
    </r>
    <r>
      <rPr>
        <i/>
        <sz val="10"/>
        <rFont val="Times New Roman"/>
        <family val="1"/>
      </rPr>
      <t>H</t>
    </r>
    <r>
      <rPr>
        <i/>
        <sz val="6"/>
        <rFont val="Times New Roman"/>
        <family val="1"/>
      </rPr>
      <t>P</t>
    </r>
    <r>
      <rPr>
        <sz val="10"/>
        <rFont val="Times New Roman"/>
        <family val="1"/>
      </rPr>
      <t xml:space="preserve"> vale: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</si>
</sst>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0.00000"/>
    <numFmt numFmtId="174" formatCode="0.000000"/>
    <numFmt numFmtId="175" formatCode="0.0000000"/>
    <numFmt numFmtId="176" formatCode="0.0000000000E+00"/>
    <numFmt numFmtId="177" formatCode="0.0E+00"/>
    <numFmt numFmtId="178" formatCode="0.000E+00"/>
    <numFmt numFmtId="179" formatCode="0.0000E+00"/>
    <numFmt numFmtId="180" formatCode="0.0%"/>
    <numFmt numFmtId="181" formatCode="_-[$€-2]\ * #,##0.00_-;\-[$€-2]\ * #,##0.00_-;_-[$€-2]\ * &quot;-&quot;??_-"/>
  </numFmts>
  <fonts count="114"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0"/>
    </font>
    <font>
      <i/>
      <sz val="10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color indexed="12"/>
      <name val="Times New Roman"/>
      <family val="1"/>
    </font>
    <font>
      <i/>
      <u val="single"/>
      <sz val="6"/>
      <color indexed="12"/>
      <name val="Symbol"/>
      <family val="1"/>
    </font>
    <font>
      <i/>
      <u val="single"/>
      <sz val="10"/>
      <color indexed="12"/>
      <name val="Symbol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sz val="6"/>
      <color indexed="12"/>
      <name val="Times New Roman"/>
      <family val="1"/>
    </font>
    <font>
      <sz val="10"/>
      <color indexed="12"/>
      <name val="Symbol"/>
      <family val="1"/>
    </font>
    <font>
      <vertAlign val="subscript"/>
      <sz val="10"/>
      <color indexed="12"/>
      <name val="Times New Roman"/>
      <family val="1"/>
    </font>
    <font>
      <sz val="6"/>
      <color indexed="12"/>
      <name val="Symbol"/>
      <family val="1"/>
    </font>
    <font>
      <vertAlign val="superscript"/>
      <sz val="10"/>
      <color indexed="12"/>
      <name val="Times New Roman"/>
      <family val="1"/>
    </font>
    <font>
      <i/>
      <u val="single"/>
      <sz val="10"/>
      <color indexed="16"/>
      <name val="Times New Roman"/>
      <family val="1"/>
    </font>
    <font>
      <i/>
      <u val="single"/>
      <sz val="6"/>
      <color indexed="16"/>
      <name val="Times New Roman"/>
      <family val="1"/>
    </font>
    <font>
      <sz val="10"/>
      <color indexed="16"/>
      <name val="Times New Roman"/>
      <family val="1"/>
    </font>
    <font>
      <sz val="6"/>
      <color indexed="16"/>
      <name val="Times New Roman"/>
      <family val="1"/>
    </font>
    <font>
      <sz val="10"/>
      <color indexed="16"/>
      <name val="Symbol"/>
      <family val="1"/>
    </font>
    <font>
      <sz val="10"/>
      <color indexed="16"/>
      <name val="Arial"/>
      <family val="0"/>
    </font>
    <font>
      <i/>
      <sz val="10"/>
      <color indexed="16"/>
      <name val="Times New Roman"/>
      <family val="1"/>
    </font>
    <font>
      <vertAlign val="superscript"/>
      <sz val="10"/>
      <color indexed="16"/>
      <name val="Times New Roman"/>
      <family val="1"/>
    </font>
    <font>
      <i/>
      <u val="single"/>
      <sz val="10"/>
      <color indexed="20"/>
      <name val="Times New Roman"/>
      <family val="1"/>
    </font>
    <font>
      <i/>
      <u val="single"/>
      <sz val="6"/>
      <color indexed="20"/>
      <name val="Times New Roman"/>
      <family val="1"/>
    </font>
    <font>
      <sz val="10"/>
      <color indexed="20"/>
      <name val="Times New Roman"/>
      <family val="1"/>
    </font>
    <font>
      <sz val="10"/>
      <color indexed="20"/>
      <name val="Arial"/>
      <family val="0"/>
    </font>
    <font>
      <sz val="6"/>
      <color indexed="20"/>
      <name val="Times New Roman"/>
      <family val="1"/>
    </font>
    <font>
      <sz val="10"/>
      <color indexed="20"/>
      <name val="Symbol"/>
      <family val="1"/>
    </font>
    <font>
      <vertAlign val="superscript"/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Symbol"/>
      <family val="1"/>
    </font>
    <font>
      <i/>
      <u val="single"/>
      <sz val="10"/>
      <name val="Symbol"/>
      <family val="1"/>
    </font>
    <font>
      <b/>
      <sz val="10"/>
      <name val="Symbol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6"/>
      <name val="Times New Roman"/>
      <family val="1"/>
    </font>
    <font>
      <vertAlign val="subscript"/>
      <sz val="10"/>
      <color indexed="12"/>
      <name val="Symbol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color indexed="16"/>
      <name val="Times New Roman"/>
      <family val="1"/>
    </font>
    <font>
      <b/>
      <u val="single"/>
      <sz val="10"/>
      <color indexed="20"/>
      <name val="Times New Roman"/>
      <family val="1"/>
    </font>
    <font>
      <i/>
      <sz val="10"/>
      <name val="Symbol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Symbol"/>
      <family val="1"/>
    </font>
    <font>
      <i/>
      <sz val="6"/>
      <color indexed="12"/>
      <name val="Times New Roman"/>
      <family val="1"/>
    </font>
    <font>
      <i/>
      <u val="single"/>
      <sz val="6"/>
      <name val="Times New Roman"/>
      <family val="1"/>
    </font>
    <font>
      <b/>
      <sz val="6"/>
      <color indexed="12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b/>
      <sz val="6"/>
      <name val="Symbol"/>
      <family val="1"/>
    </font>
    <font>
      <sz val="5"/>
      <name val="Times New Roman"/>
      <family val="1"/>
    </font>
    <font>
      <sz val="6"/>
      <name val="Arial"/>
      <family val="2"/>
    </font>
    <font>
      <sz val="10"/>
      <name val="t"/>
      <family val="0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bscript"/>
      <sz val="6"/>
      <name val="Times New Roman"/>
      <family val="1"/>
    </font>
    <font>
      <b/>
      <sz val="10"/>
      <name val="Arial"/>
      <family val="0"/>
    </font>
    <font>
      <i/>
      <sz val="6"/>
      <name val="Symbol"/>
      <family val="1"/>
    </font>
    <font>
      <i/>
      <sz val="9"/>
      <name val="Times New Roman"/>
      <family val="1"/>
    </font>
    <font>
      <b/>
      <sz val="10"/>
      <name val="t"/>
      <family val="0"/>
    </font>
    <font>
      <sz val="10"/>
      <color indexed="10"/>
      <name val="t"/>
      <family val="0"/>
    </font>
    <font>
      <sz val="8"/>
      <color indexed="10"/>
      <name val="Arial"/>
      <family val="2"/>
    </font>
    <font>
      <i/>
      <sz val="10"/>
      <name val="Arial"/>
      <family val="0"/>
    </font>
    <font>
      <b/>
      <i/>
      <sz val="10"/>
      <name val="Symbol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6"/>
      <color indexed="12"/>
      <name val="Times New Roman"/>
      <family val="1"/>
    </font>
    <font>
      <b/>
      <i/>
      <sz val="10"/>
      <color indexed="12"/>
      <name val="Symbol"/>
      <family val="1"/>
    </font>
    <font>
      <vertAlign val="superscript"/>
      <sz val="10"/>
      <name val="Symbol"/>
      <family val="1"/>
    </font>
    <font>
      <sz val="10"/>
      <color indexed="41"/>
      <name val="Times New Roman"/>
      <family val="1"/>
    </font>
    <font>
      <vertAlign val="superscript"/>
      <sz val="6"/>
      <name val="Times New Roman"/>
      <family val="1"/>
    </font>
    <font>
      <i/>
      <sz val="8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i/>
      <sz val="10"/>
      <color indexed="18"/>
      <name val="Times New Roman"/>
      <family val="1"/>
    </font>
    <font>
      <sz val="8"/>
      <name val="Arial"/>
      <family val="2"/>
    </font>
    <font>
      <b/>
      <u val="single"/>
      <sz val="10"/>
      <name val="Symbol"/>
      <family val="1"/>
    </font>
    <font>
      <b/>
      <sz val="12"/>
      <name val="Times New Roman"/>
      <family val="1"/>
    </font>
    <font>
      <i/>
      <u val="single"/>
      <vertAlign val="subscript"/>
      <sz val="10"/>
      <name val="Times New Roman"/>
      <family val="1"/>
    </font>
    <font>
      <i/>
      <sz val="6"/>
      <name val="Arial"/>
      <family val="2"/>
    </font>
    <font>
      <sz val="10"/>
      <color indexed="63"/>
      <name val="Times New Roman"/>
      <family val="1"/>
    </font>
    <font>
      <sz val="6"/>
      <color indexed="63"/>
      <name val="Times New Roman"/>
      <family val="1"/>
    </font>
    <font>
      <vertAlign val="subscript"/>
      <sz val="10"/>
      <color indexed="63"/>
      <name val="Times New Roman"/>
      <family val="1"/>
    </font>
    <font>
      <sz val="10"/>
      <color indexed="63"/>
      <name val="Symbol"/>
      <family val="1"/>
    </font>
    <font>
      <vertAlign val="superscript"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6"/>
      <color indexed="14"/>
      <name val="Times New Roman"/>
      <family val="1"/>
    </font>
    <font>
      <vertAlign val="subscript"/>
      <sz val="10"/>
      <name val="Symbol"/>
      <family val="1"/>
    </font>
    <font>
      <vertAlign val="subscript"/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b/>
      <sz val="14"/>
      <name val="Symbol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vertAlign val="subscript"/>
      <sz val="6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7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170" fontId="22" fillId="0" borderId="0" xfId="0" applyNumberFormat="1" applyFont="1" applyFill="1" applyAlignment="1">
      <alignment horizontal="center"/>
    </xf>
    <xf numFmtId="17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0" xfId="0" applyFont="1" applyFill="1" applyAlignment="1">
      <alignment horizontal="left"/>
    </xf>
    <xf numFmtId="17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170" fontId="30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70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left"/>
    </xf>
    <xf numFmtId="0" fontId="4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52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2" fillId="2" borderId="0" xfId="0" applyFont="1" applyFill="1" applyBorder="1" applyAlignment="1">
      <alignment horizontal="center"/>
    </xf>
    <xf numFmtId="1" fontId="22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0" fontId="1" fillId="0" borderId="0" xfId="0" applyNumberFormat="1" applyFont="1" applyFill="1" applyAlignment="1" quotePrefix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 quotePrefix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0" fontId="1" fillId="2" borderId="0" xfId="0" applyNumberFormat="1" applyFont="1" applyFill="1" applyAlignment="1" quotePrefix="1">
      <alignment horizontal="center"/>
    </xf>
    <xf numFmtId="0" fontId="6" fillId="0" borderId="0" xfId="0" applyFont="1" applyAlignment="1">
      <alignment/>
    </xf>
    <xf numFmtId="1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67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 quotePrefix="1">
      <alignment horizontal="right"/>
    </xf>
    <xf numFmtId="0" fontId="0" fillId="2" borderId="0" xfId="0" applyFont="1" applyFill="1" applyAlignment="1">
      <alignment/>
    </xf>
    <xf numFmtId="17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7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67" fillId="3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0" fontId="63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70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0" fontId="71" fillId="0" borderId="0" xfId="0" applyNumberFormat="1" applyFont="1" applyFill="1" applyBorder="1" applyAlignment="1">
      <alignment horizontal="center"/>
    </xf>
    <xf numFmtId="172" fontId="63" fillId="0" borderId="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177" fontId="63" fillId="0" borderId="0" xfId="0" applyNumberFormat="1" applyFont="1" applyFill="1" applyBorder="1" applyAlignment="1">
      <alignment horizontal="center"/>
    </xf>
    <xf numFmtId="10" fontId="1" fillId="0" borderId="0" xfId="19" applyNumberFormat="1" applyFont="1" applyFill="1" applyBorder="1" applyAlignment="1">
      <alignment horizontal="center"/>
    </xf>
    <xf numFmtId="172" fontId="1" fillId="0" borderId="0" xfId="0" applyNumberFormat="1" applyFont="1" applyFill="1" applyAlignment="1" quotePrefix="1">
      <alignment horizontal="center"/>
    </xf>
    <xf numFmtId="0" fontId="1" fillId="2" borderId="0" xfId="0" applyFont="1" applyFill="1" applyAlignment="1" quotePrefix="1">
      <alignment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Fill="1" applyAlignment="1" quotePrefix="1">
      <alignment/>
    </xf>
    <xf numFmtId="170" fontId="0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0" fillId="3" borderId="0" xfId="0" applyFont="1" applyFill="1" applyBorder="1" applyAlignment="1">
      <alignment/>
    </xf>
    <xf numFmtId="178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170" fontId="75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2" fontId="1" fillId="2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173" fontId="14" fillId="0" borderId="0" xfId="0" applyNumberFormat="1" applyFont="1" applyAlignment="1" quotePrefix="1">
      <alignment horizontal="center"/>
    </xf>
    <xf numFmtId="179" fontId="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10" fontId="1" fillId="0" borderId="0" xfId="19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67" fillId="0" borderId="0" xfId="0" applyFont="1" applyAlignment="1">
      <alignment horizontal="left"/>
    </xf>
    <xf numFmtId="11" fontId="78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67" fillId="0" borderId="0" xfId="0" applyFont="1" applyAlignment="1">
      <alignment/>
    </xf>
    <xf numFmtId="170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17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Fill="1" applyAlignment="1">
      <alignment/>
    </xf>
    <xf numFmtId="177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87" fillId="0" borderId="0" xfId="0" applyFont="1" applyAlignment="1">
      <alignment/>
    </xf>
    <xf numFmtId="0" fontId="7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88" fillId="0" borderId="0" xfId="0" applyFont="1" applyAlignment="1">
      <alignment horizontal="center"/>
    </xf>
    <xf numFmtId="172" fontId="1" fillId="0" borderId="0" xfId="0" applyNumberFormat="1" applyFont="1" applyAlignment="1" quotePrefix="1">
      <alignment horizontal="center"/>
    </xf>
    <xf numFmtId="0" fontId="3" fillId="0" borderId="0" xfId="0" applyFont="1" applyFill="1" applyAlignment="1">
      <alignment/>
    </xf>
    <xf numFmtId="0" fontId="67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170" fontId="1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quotePrefix="1">
      <alignment horizontal="center"/>
    </xf>
    <xf numFmtId="1" fontId="91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 quotePrefix="1">
      <alignment horizontal="center"/>
    </xf>
    <xf numFmtId="0" fontId="6" fillId="3" borderId="0" xfId="0" applyFont="1" applyFill="1" applyBorder="1" applyAlignment="1">
      <alignment/>
    </xf>
    <xf numFmtId="11" fontId="1" fillId="0" borderId="0" xfId="0" applyNumberFormat="1" applyFont="1" applyFill="1" applyBorder="1" applyAlignment="1">
      <alignment horizontal="left"/>
    </xf>
    <xf numFmtId="1" fontId="78" fillId="0" borderId="0" xfId="0" applyNumberFormat="1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170" fontId="94" fillId="0" borderId="0" xfId="0" applyNumberFormat="1" applyFont="1" applyAlignment="1">
      <alignment horizontal="center"/>
    </xf>
    <xf numFmtId="0" fontId="94" fillId="0" borderId="0" xfId="0" applyFont="1" applyAlignment="1">
      <alignment/>
    </xf>
    <xf numFmtId="0" fontId="97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172" fontId="94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1" fontId="94" fillId="0" borderId="0" xfId="0" applyNumberFormat="1" applyFont="1" applyAlignment="1">
      <alignment horizontal="center"/>
    </xf>
    <xf numFmtId="0" fontId="94" fillId="2" borderId="0" xfId="0" applyFont="1" applyFill="1" applyAlignment="1">
      <alignment/>
    </xf>
    <xf numFmtId="0" fontId="9" fillId="0" borderId="0" xfId="0" applyFont="1" applyAlignment="1">
      <alignment/>
    </xf>
    <xf numFmtId="0" fontId="100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Fill="1" applyAlignment="1">
      <alignment/>
    </xf>
    <xf numFmtId="172" fontId="1" fillId="0" borderId="0" xfId="0" applyNumberFormat="1" applyFont="1" applyFill="1" applyAlignment="1">
      <alignment horizontal="left"/>
    </xf>
    <xf numFmtId="0" fontId="101" fillId="0" borderId="0" xfId="0" applyFont="1" applyFill="1" applyAlignment="1">
      <alignment/>
    </xf>
    <xf numFmtId="170" fontId="94" fillId="0" borderId="0" xfId="0" applyNumberFormat="1" applyFont="1" applyAlignment="1" quotePrefix="1">
      <alignment horizontal="center"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94" fillId="0" borderId="0" xfId="0" applyFont="1" applyFill="1" applyAlignment="1">
      <alignment/>
    </xf>
    <xf numFmtId="1" fontId="1" fillId="2" borderId="0" xfId="0" applyNumberFormat="1" applyFont="1" applyFill="1" applyBorder="1" applyAlignment="1" quotePrefix="1">
      <alignment horizontal="center"/>
    </xf>
    <xf numFmtId="0" fontId="3" fillId="0" borderId="0" xfId="0" applyFont="1" applyAlignment="1" quotePrefix="1">
      <alignment/>
    </xf>
    <xf numFmtId="0" fontId="1" fillId="2" borderId="0" xfId="0" applyFont="1" applyFill="1" applyAlignment="1" quotePrefix="1">
      <alignment horizontal="center"/>
    </xf>
    <xf numFmtId="0" fontId="109" fillId="0" borderId="0" xfId="0" applyFont="1" applyAlignment="1">
      <alignment horizontal="center"/>
    </xf>
    <xf numFmtId="170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0" fontId="8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7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9" fontId="1" fillId="0" borderId="0" xfId="19" applyFont="1" applyFill="1" applyAlignment="1">
      <alignment horizontal="center"/>
    </xf>
    <xf numFmtId="170" fontId="2" fillId="2" borderId="0" xfId="0" applyNumberFormat="1" applyFont="1" applyFill="1" applyAlignment="1">
      <alignment horizontal="center"/>
    </xf>
    <xf numFmtId="180" fontId="1" fillId="0" borderId="0" xfId="19" applyNumberFormat="1" applyFont="1" applyAlignment="1">
      <alignment horizontal="center"/>
    </xf>
    <xf numFmtId="0" fontId="40" fillId="0" borderId="0" xfId="0" applyFont="1" applyAlignment="1">
      <alignment horizontal="left"/>
    </xf>
    <xf numFmtId="175" fontId="0" fillId="0" borderId="0" xfId="0" applyNumberFormat="1" applyFont="1" applyAlignment="1">
      <alignment/>
    </xf>
    <xf numFmtId="180" fontId="1" fillId="0" borderId="0" xfId="19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396</xdr:row>
      <xdr:rowOff>85725</xdr:rowOff>
    </xdr:from>
    <xdr:to>
      <xdr:col>8</xdr:col>
      <xdr:colOff>171450</xdr:colOff>
      <xdr:row>397</xdr:row>
      <xdr:rowOff>180975</xdr:rowOff>
    </xdr:to>
    <xdr:sp>
      <xdr:nvSpPr>
        <xdr:cNvPr id="1" name="Line 7"/>
        <xdr:cNvSpPr>
          <a:spLocks/>
        </xdr:cNvSpPr>
      </xdr:nvSpPr>
      <xdr:spPr>
        <a:xfrm>
          <a:off x="5286375" y="59674125"/>
          <a:ext cx="476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396</xdr:row>
      <xdr:rowOff>85725</xdr:rowOff>
    </xdr:from>
    <xdr:to>
      <xdr:col>7</xdr:col>
      <xdr:colOff>190500</xdr:colOff>
      <xdr:row>398</xdr:row>
      <xdr:rowOff>85725</xdr:rowOff>
    </xdr:to>
    <xdr:sp>
      <xdr:nvSpPr>
        <xdr:cNvPr id="2" name="Line 8"/>
        <xdr:cNvSpPr>
          <a:spLocks/>
        </xdr:cNvSpPr>
      </xdr:nvSpPr>
      <xdr:spPr>
        <a:xfrm>
          <a:off x="5324475" y="59674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397</xdr:row>
      <xdr:rowOff>47625</xdr:rowOff>
    </xdr:from>
    <xdr:to>
      <xdr:col>7</xdr:col>
      <xdr:colOff>419100</xdr:colOff>
      <xdr:row>398</xdr:row>
      <xdr:rowOff>28575</xdr:rowOff>
    </xdr:to>
    <xdr:sp>
      <xdr:nvSpPr>
        <xdr:cNvPr id="3" name="Arc 9"/>
        <xdr:cNvSpPr>
          <a:spLocks/>
        </xdr:cNvSpPr>
      </xdr:nvSpPr>
      <xdr:spPr>
        <a:xfrm flipV="1">
          <a:off x="5210175" y="59721750"/>
          <a:ext cx="342900" cy="180975"/>
        </a:xfrm>
        <a:prstGeom prst="arc">
          <a:avLst>
            <a:gd name="adj" fmla="val 4680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397</xdr:row>
      <xdr:rowOff>9525</xdr:rowOff>
    </xdr:from>
    <xdr:to>
      <xdr:col>8</xdr:col>
      <xdr:colOff>76200</xdr:colOff>
      <xdr:row>398</xdr:row>
      <xdr:rowOff>28575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5334000" y="596836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2</xdr:col>
      <xdr:colOff>295275</xdr:colOff>
      <xdr:row>119</xdr:row>
      <xdr:rowOff>104775</xdr:rowOff>
    </xdr:from>
    <xdr:to>
      <xdr:col>3</xdr:col>
      <xdr:colOff>257175</xdr:colOff>
      <xdr:row>119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1971675" y="18611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148</xdr:row>
      <xdr:rowOff>85725</xdr:rowOff>
    </xdr:from>
    <xdr:to>
      <xdr:col>3</xdr:col>
      <xdr:colOff>514350</xdr:colOff>
      <xdr:row>148</xdr:row>
      <xdr:rowOff>85725</xdr:rowOff>
    </xdr:to>
    <xdr:sp>
      <xdr:nvSpPr>
        <xdr:cNvPr id="6" name="Line 12"/>
        <xdr:cNvSpPr>
          <a:spLocks/>
        </xdr:cNvSpPr>
      </xdr:nvSpPr>
      <xdr:spPr>
        <a:xfrm>
          <a:off x="2228850" y="22821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144</xdr:row>
      <xdr:rowOff>114300</xdr:rowOff>
    </xdr:from>
    <xdr:to>
      <xdr:col>6</xdr:col>
      <xdr:colOff>333375</xdr:colOff>
      <xdr:row>144</xdr:row>
      <xdr:rowOff>114300</xdr:rowOff>
    </xdr:to>
    <xdr:sp>
      <xdr:nvSpPr>
        <xdr:cNvPr id="7" name="Line 13"/>
        <xdr:cNvSpPr>
          <a:spLocks/>
        </xdr:cNvSpPr>
      </xdr:nvSpPr>
      <xdr:spPr>
        <a:xfrm>
          <a:off x="4514850" y="22288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219</xdr:row>
      <xdr:rowOff>114300</xdr:rowOff>
    </xdr:from>
    <xdr:to>
      <xdr:col>3</xdr:col>
      <xdr:colOff>123825</xdr:colOff>
      <xdr:row>219</xdr:row>
      <xdr:rowOff>114300</xdr:rowOff>
    </xdr:to>
    <xdr:sp>
      <xdr:nvSpPr>
        <xdr:cNvPr id="8" name="Line 15"/>
        <xdr:cNvSpPr>
          <a:spLocks/>
        </xdr:cNvSpPr>
      </xdr:nvSpPr>
      <xdr:spPr>
        <a:xfrm flipH="1">
          <a:off x="1952625" y="33708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244</xdr:row>
      <xdr:rowOff>104775</xdr:rowOff>
    </xdr:from>
    <xdr:to>
      <xdr:col>6</xdr:col>
      <xdr:colOff>333375</xdr:colOff>
      <xdr:row>244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486275" y="37385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261</xdr:row>
      <xdr:rowOff>114300</xdr:rowOff>
    </xdr:from>
    <xdr:to>
      <xdr:col>6</xdr:col>
      <xdr:colOff>314325</xdr:colOff>
      <xdr:row>261</xdr:row>
      <xdr:rowOff>114300</xdr:rowOff>
    </xdr:to>
    <xdr:sp>
      <xdr:nvSpPr>
        <xdr:cNvPr id="10" name="Line 18"/>
        <xdr:cNvSpPr>
          <a:spLocks/>
        </xdr:cNvSpPr>
      </xdr:nvSpPr>
      <xdr:spPr>
        <a:xfrm flipH="1">
          <a:off x="4476750" y="3984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266</xdr:row>
      <xdr:rowOff>95250</xdr:rowOff>
    </xdr:from>
    <xdr:to>
      <xdr:col>2</xdr:col>
      <xdr:colOff>457200</xdr:colOff>
      <xdr:row>266</xdr:row>
      <xdr:rowOff>95250</xdr:rowOff>
    </xdr:to>
    <xdr:sp>
      <xdr:nvSpPr>
        <xdr:cNvPr id="11" name="Line 19"/>
        <xdr:cNvSpPr>
          <a:spLocks/>
        </xdr:cNvSpPr>
      </xdr:nvSpPr>
      <xdr:spPr>
        <a:xfrm flipH="1">
          <a:off x="1828800" y="40595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30</xdr:row>
      <xdr:rowOff>104775</xdr:rowOff>
    </xdr:from>
    <xdr:to>
      <xdr:col>6</xdr:col>
      <xdr:colOff>428625</xdr:colOff>
      <xdr:row>30</xdr:row>
      <xdr:rowOff>104775</xdr:rowOff>
    </xdr:to>
    <xdr:sp>
      <xdr:nvSpPr>
        <xdr:cNvPr id="12" name="Line 20"/>
        <xdr:cNvSpPr>
          <a:spLocks/>
        </xdr:cNvSpPr>
      </xdr:nvSpPr>
      <xdr:spPr>
        <a:xfrm flipH="1">
          <a:off x="4514850" y="4505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473</xdr:row>
      <xdr:rowOff>152400</xdr:rowOff>
    </xdr:from>
    <xdr:to>
      <xdr:col>9</xdr:col>
      <xdr:colOff>190500</xdr:colOff>
      <xdr:row>477</xdr:row>
      <xdr:rowOff>9525</xdr:rowOff>
    </xdr:to>
    <xdr:sp>
      <xdr:nvSpPr>
        <xdr:cNvPr id="13" name="Line 21"/>
        <xdr:cNvSpPr>
          <a:spLocks/>
        </xdr:cNvSpPr>
      </xdr:nvSpPr>
      <xdr:spPr>
        <a:xfrm flipH="1">
          <a:off x="5838825" y="71447025"/>
          <a:ext cx="552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475</xdr:row>
      <xdr:rowOff>142875</xdr:rowOff>
    </xdr:from>
    <xdr:to>
      <xdr:col>9</xdr:col>
      <xdr:colOff>523875</xdr:colOff>
      <xdr:row>475</xdr:row>
      <xdr:rowOff>142875</xdr:rowOff>
    </xdr:to>
    <xdr:sp>
      <xdr:nvSpPr>
        <xdr:cNvPr id="14" name="Line 22"/>
        <xdr:cNvSpPr>
          <a:spLocks/>
        </xdr:cNvSpPr>
      </xdr:nvSpPr>
      <xdr:spPr>
        <a:xfrm>
          <a:off x="5981700" y="71713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501</xdr:row>
      <xdr:rowOff>0</xdr:rowOff>
    </xdr:from>
    <xdr:to>
      <xdr:col>9</xdr:col>
      <xdr:colOff>342900</xdr:colOff>
      <xdr:row>501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6391275" y="758285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8</xdr:col>
      <xdr:colOff>504825</xdr:colOff>
      <xdr:row>474</xdr:row>
      <xdr:rowOff>28575</xdr:rowOff>
    </xdr:from>
    <xdr:to>
      <xdr:col>9</xdr:col>
      <xdr:colOff>47625</xdr:colOff>
      <xdr:row>476</xdr:row>
      <xdr:rowOff>28575</xdr:rowOff>
    </xdr:to>
    <xdr:sp>
      <xdr:nvSpPr>
        <xdr:cNvPr id="16" name="Arc 37"/>
        <xdr:cNvSpPr>
          <a:spLocks/>
        </xdr:cNvSpPr>
      </xdr:nvSpPr>
      <xdr:spPr>
        <a:xfrm>
          <a:off x="6096000" y="71523225"/>
          <a:ext cx="152400" cy="2762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474</xdr:row>
      <xdr:rowOff>38100</xdr:rowOff>
    </xdr:from>
    <xdr:to>
      <xdr:col>9</xdr:col>
      <xdr:colOff>447675</xdr:colOff>
      <xdr:row>475</xdr:row>
      <xdr:rowOff>190500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315075" y="715327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247</xdr:row>
      <xdr:rowOff>0</xdr:rowOff>
    </xdr:from>
    <xdr:to>
      <xdr:col>0</xdr:col>
      <xdr:colOff>152400</xdr:colOff>
      <xdr:row>247</xdr:row>
      <xdr:rowOff>0</xdr:rowOff>
    </xdr:to>
    <xdr:sp>
      <xdr:nvSpPr>
        <xdr:cNvPr id="1" name="AutoShape 35"/>
        <xdr:cNvSpPr>
          <a:spLocks/>
        </xdr:cNvSpPr>
      </xdr:nvSpPr>
      <xdr:spPr>
        <a:xfrm>
          <a:off x="76200" y="3666172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159</xdr:row>
      <xdr:rowOff>76200</xdr:rowOff>
    </xdr:from>
    <xdr:to>
      <xdr:col>5</xdr:col>
      <xdr:colOff>581025</xdr:colOff>
      <xdr:row>159</xdr:row>
      <xdr:rowOff>76200</xdr:rowOff>
    </xdr:to>
    <xdr:sp>
      <xdr:nvSpPr>
        <xdr:cNvPr id="2" name="Line 36"/>
        <xdr:cNvSpPr>
          <a:spLocks/>
        </xdr:cNvSpPr>
      </xdr:nvSpPr>
      <xdr:spPr>
        <a:xfrm>
          <a:off x="4276725" y="24203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158</xdr:row>
      <xdr:rowOff>123825</xdr:rowOff>
    </xdr:from>
    <xdr:to>
      <xdr:col>8</xdr:col>
      <xdr:colOff>314325</xdr:colOff>
      <xdr:row>160</xdr:row>
      <xdr:rowOff>9525</xdr:rowOff>
    </xdr:to>
    <xdr:sp>
      <xdr:nvSpPr>
        <xdr:cNvPr id="3" name="Line 37"/>
        <xdr:cNvSpPr>
          <a:spLocks/>
        </xdr:cNvSpPr>
      </xdr:nvSpPr>
      <xdr:spPr>
        <a:xfrm>
          <a:off x="6524625" y="24050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165</xdr:row>
      <xdr:rowOff>47625</xdr:rowOff>
    </xdr:from>
    <xdr:to>
      <xdr:col>9</xdr:col>
      <xdr:colOff>371475</xdr:colOff>
      <xdr:row>167</xdr:row>
      <xdr:rowOff>0</xdr:rowOff>
    </xdr:to>
    <xdr:sp>
      <xdr:nvSpPr>
        <xdr:cNvPr id="4" name="Line 38"/>
        <xdr:cNvSpPr>
          <a:spLocks/>
        </xdr:cNvSpPr>
      </xdr:nvSpPr>
      <xdr:spPr>
        <a:xfrm>
          <a:off x="7115175" y="2512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166</xdr:row>
      <xdr:rowOff>76200</xdr:rowOff>
    </xdr:from>
    <xdr:to>
      <xdr:col>3</xdr:col>
      <xdr:colOff>590550</xdr:colOff>
      <xdr:row>166</xdr:row>
      <xdr:rowOff>76200</xdr:rowOff>
    </xdr:to>
    <xdr:sp>
      <xdr:nvSpPr>
        <xdr:cNvPr id="5" name="Line 39"/>
        <xdr:cNvSpPr>
          <a:spLocks/>
        </xdr:cNvSpPr>
      </xdr:nvSpPr>
      <xdr:spPr>
        <a:xfrm>
          <a:off x="2809875" y="25231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182</xdr:row>
      <xdr:rowOff>76200</xdr:rowOff>
    </xdr:from>
    <xdr:to>
      <xdr:col>5</xdr:col>
      <xdr:colOff>581025</xdr:colOff>
      <xdr:row>182</xdr:row>
      <xdr:rowOff>76200</xdr:rowOff>
    </xdr:to>
    <xdr:sp>
      <xdr:nvSpPr>
        <xdr:cNvPr id="6" name="Line 40"/>
        <xdr:cNvSpPr>
          <a:spLocks/>
        </xdr:cNvSpPr>
      </xdr:nvSpPr>
      <xdr:spPr>
        <a:xfrm>
          <a:off x="4276725" y="27441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181</xdr:row>
      <xdr:rowOff>123825</xdr:rowOff>
    </xdr:from>
    <xdr:to>
      <xdr:col>8</xdr:col>
      <xdr:colOff>314325</xdr:colOff>
      <xdr:row>183</xdr:row>
      <xdr:rowOff>9525</xdr:rowOff>
    </xdr:to>
    <xdr:sp>
      <xdr:nvSpPr>
        <xdr:cNvPr id="7" name="Line 41"/>
        <xdr:cNvSpPr>
          <a:spLocks/>
        </xdr:cNvSpPr>
      </xdr:nvSpPr>
      <xdr:spPr>
        <a:xfrm>
          <a:off x="6524625" y="27289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191</xdr:row>
      <xdr:rowOff>76200</xdr:rowOff>
    </xdr:from>
    <xdr:to>
      <xdr:col>2</xdr:col>
      <xdr:colOff>466725</xdr:colOff>
      <xdr:row>191</xdr:row>
      <xdr:rowOff>76200</xdr:rowOff>
    </xdr:to>
    <xdr:sp>
      <xdr:nvSpPr>
        <xdr:cNvPr id="8" name="Line 42"/>
        <xdr:cNvSpPr>
          <a:spLocks/>
        </xdr:cNvSpPr>
      </xdr:nvSpPr>
      <xdr:spPr>
        <a:xfrm>
          <a:off x="2257425" y="28746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192</xdr:row>
      <xdr:rowOff>47625</xdr:rowOff>
    </xdr:from>
    <xdr:to>
      <xdr:col>7</xdr:col>
      <xdr:colOff>371475</xdr:colOff>
      <xdr:row>194</xdr:row>
      <xdr:rowOff>0</xdr:rowOff>
    </xdr:to>
    <xdr:sp>
      <xdr:nvSpPr>
        <xdr:cNvPr id="9" name="Line 43"/>
        <xdr:cNvSpPr>
          <a:spLocks/>
        </xdr:cNvSpPr>
      </xdr:nvSpPr>
      <xdr:spPr>
        <a:xfrm>
          <a:off x="6000750" y="28917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293</xdr:row>
      <xdr:rowOff>66675</xdr:rowOff>
    </xdr:from>
    <xdr:to>
      <xdr:col>7</xdr:col>
      <xdr:colOff>323850</xdr:colOff>
      <xdr:row>294</xdr:row>
      <xdr:rowOff>190500</xdr:rowOff>
    </xdr:to>
    <xdr:sp>
      <xdr:nvSpPr>
        <xdr:cNvPr id="10" name="Line 44"/>
        <xdr:cNvSpPr>
          <a:spLocks/>
        </xdr:cNvSpPr>
      </xdr:nvSpPr>
      <xdr:spPr>
        <a:xfrm flipH="1" flipV="1">
          <a:off x="5172075" y="43576875"/>
          <a:ext cx="781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292</xdr:row>
      <xdr:rowOff>190500</xdr:rowOff>
    </xdr:from>
    <xdr:to>
      <xdr:col>7</xdr:col>
      <xdr:colOff>381000</xdr:colOff>
      <xdr:row>294</xdr:row>
      <xdr:rowOff>190500</xdr:rowOff>
    </xdr:to>
    <xdr:sp>
      <xdr:nvSpPr>
        <xdr:cNvPr id="11" name="Arc 46"/>
        <xdr:cNvSpPr>
          <a:spLocks/>
        </xdr:cNvSpPr>
      </xdr:nvSpPr>
      <xdr:spPr>
        <a:xfrm flipH="1">
          <a:off x="5638800" y="43500675"/>
          <a:ext cx="371475" cy="2762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292</xdr:row>
      <xdr:rowOff>19050</xdr:rowOff>
    </xdr:from>
    <xdr:to>
      <xdr:col>7</xdr:col>
      <xdr:colOff>247650</xdr:colOff>
      <xdr:row>293</xdr:row>
      <xdr:rowOff>47625</xdr:rowOff>
    </xdr:to>
    <xdr:sp>
      <xdr:nvSpPr>
        <xdr:cNvPr id="12" name="TextBox 47"/>
        <xdr:cNvSpPr txBox="1">
          <a:spLocks noChangeArrowheads="1"/>
        </xdr:cNvSpPr>
      </xdr:nvSpPr>
      <xdr:spPr>
        <a:xfrm>
          <a:off x="5572125" y="43329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b</a:t>
          </a:r>
        </a:p>
      </xdr:txBody>
    </xdr:sp>
    <xdr:clientData/>
  </xdr:twoCellAnchor>
  <xdr:twoCellAnchor>
    <xdr:from>
      <xdr:col>2</xdr:col>
      <xdr:colOff>400050</xdr:colOff>
      <xdr:row>312</xdr:row>
      <xdr:rowOff>28575</xdr:rowOff>
    </xdr:from>
    <xdr:to>
      <xdr:col>2</xdr:col>
      <xdr:colOff>400050</xdr:colOff>
      <xdr:row>314</xdr:row>
      <xdr:rowOff>0</xdr:rowOff>
    </xdr:to>
    <xdr:sp>
      <xdr:nvSpPr>
        <xdr:cNvPr id="13" name="Line 48"/>
        <xdr:cNvSpPr>
          <a:spLocks/>
        </xdr:cNvSpPr>
      </xdr:nvSpPr>
      <xdr:spPr>
        <a:xfrm flipV="1">
          <a:off x="2447925" y="46348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321</xdr:row>
      <xdr:rowOff>114300</xdr:rowOff>
    </xdr:from>
    <xdr:to>
      <xdr:col>3</xdr:col>
      <xdr:colOff>676275</xdr:colOff>
      <xdr:row>321</xdr:row>
      <xdr:rowOff>114300</xdr:rowOff>
    </xdr:to>
    <xdr:sp>
      <xdr:nvSpPr>
        <xdr:cNvPr id="14" name="Line 49"/>
        <xdr:cNvSpPr>
          <a:spLocks/>
        </xdr:cNvSpPr>
      </xdr:nvSpPr>
      <xdr:spPr>
        <a:xfrm>
          <a:off x="2781300" y="47739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75</xdr:row>
      <xdr:rowOff>123825</xdr:rowOff>
    </xdr:from>
    <xdr:to>
      <xdr:col>8</xdr:col>
      <xdr:colOff>523875</xdr:colOff>
      <xdr:row>75</xdr:row>
      <xdr:rowOff>123825</xdr:rowOff>
    </xdr:to>
    <xdr:sp>
      <xdr:nvSpPr>
        <xdr:cNvPr id="15" name="Line 50"/>
        <xdr:cNvSpPr>
          <a:spLocks/>
        </xdr:cNvSpPr>
      </xdr:nvSpPr>
      <xdr:spPr>
        <a:xfrm flipH="1">
          <a:off x="6391275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54</xdr:row>
      <xdr:rowOff>123825</xdr:rowOff>
    </xdr:from>
    <xdr:to>
      <xdr:col>3</xdr:col>
      <xdr:colOff>57150</xdr:colOff>
      <xdr:row>54</xdr:row>
      <xdr:rowOff>123825</xdr:rowOff>
    </xdr:to>
    <xdr:sp>
      <xdr:nvSpPr>
        <xdr:cNvPr id="16" name="Line 52"/>
        <xdr:cNvSpPr>
          <a:spLocks/>
        </xdr:cNvSpPr>
      </xdr:nvSpPr>
      <xdr:spPr>
        <a:xfrm>
          <a:off x="2247900" y="875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292</xdr:row>
      <xdr:rowOff>19050</xdr:rowOff>
    </xdr:from>
    <xdr:to>
      <xdr:col>7</xdr:col>
      <xdr:colOff>276225</xdr:colOff>
      <xdr:row>295</xdr:row>
      <xdr:rowOff>47625</xdr:rowOff>
    </xdr:to>
    <xdr:sp>
      <xdr:nvSpPr>
        <xdr:cNvPr id="17" name="Line 54"/>
        <xdr:cNvSpPr>
          <a:spLocks/>
        </xdr:cNvSpPr>
      </xdr:nvSpPr>
      <xdr:spPr>
        <a:xfrm flipV="1">
          <a:off x="5905500" y="43329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75</xdr:row>
      <xdr:rowOff>114300</xdr:rowOff>
    </xdr:from>
    <xdr:to>
      <xdr:col>2</xdr:col>
      <xdr:colOff>333375</xdr:colOff>
      <xdr:row>75</xdr:row>
      <xdr:rowOff>114300</xdr:rowOff>
    </xdr:to>
    <xdr:sp>
      <xdr:nvSpPr>
        <xdr:cNvPr id="18" name="Line 56"/>
        <xdr:cNvSpPr>
          <a:spLocks/>
        </xdr:cNvSpPr>
      </xdr:nvSpPr>
      <xdr:spPr>
        <a:xfrm>
          <a:off x="2219325" y="11849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80</xdr:row>
      <xdr:rowOff>95250</xdr:rowOff>
    </xdr:from>
    <xdr:to>
      <xdr:col>3</xdr:col>
      <xdr:colOff>0</xdr:colOff>
      <xdr:row>80</xdr:row>
      <xdr:rowOff>95250</xdr:rowOff>
    </xdr:to>
    <xdr:sp>
      <xdr:nvSpPr>
        <xdr:cNvPr id="19" name="Line 58"/>
        <xdr:cNvSpPr>
          <a:spLocks/>
        </xdr:cNvSpPr>
      </xdr:nvSpPr>
      <xdr:spPr>
        <a:xfrm>
          <a:off x="2190750" y="12592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724</xdr:row>
      <xdr:rowOff>76200</xdr:rowOff>
    </xdr:from>
    <xdr:to>
      <xdr:col>3</xdr:col>
      <xdr:colOff>571500</xdr:colOff>
      <xdr:row>724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362200" y="118510050"/>
          <a:ext cx="0" cy="381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352425</xdr:colOff>
      <xdr:row>629</xdr:row>
      <xdr:rowOff>104775</xdr:rowOff>
    </xdr:from>
    <xdr:to>
      <xdr:col>19</xdr:col>
      <xdr:colOff>352425</xdr:colOff>
      <xdr:row>630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0953750" y="99536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9525</xdr:rowOff>
    </xdr:from>
    <xdr:to>
      <xdr:col>8</xdr:col>
      <xdr:colOff>228600</xdr:colOff>
      <xdr:row>12</xdr:row>
      <xdr:rowOff>142875</xdr:rowOff>
    </xdr:to>
    <xdr:sp>
      <xdr:nvSpPr>
        <xdr:cNvPr id="3" name="Line 65"/>
        <xdr:cNvSpPr>
          <a:spLocks/>
        </xdr:cNvSpPr>
      </xdr:nvSpPr>
      <xdr:spPr>
        <a:xfrm>
          <a:off x="4800600" y="1666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19050</xdr:rowOff>
    </xdr:from>
    <xdr:to>
      <xdr:col>7</xdr:col>
      <xdr:colOff>285750</xdr:colOff>
      <xdr:row>14</xdr:row>
      <xdr:rowOff>152400</xdr:rowOff>
    </xdr:to>
    <xdr:sp>
      <xdr:nvSpPr>
        <xdr:cNvPr id="4" name="Line 66"/>
        <xdr:cNvSpPr>
          <a:spLocks/>
        </xdr:cNvSpPr>
      </xdr:nvSpPr>
      <xdr:spPr>
        <a:xfrm>
          <a:off x="4362450" y="1952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79</xdr:row>
      <xdr:rowOff>95250</xdr:rowOff>
    </xdr:from>
    <xdr:to>
      <xdr:col>2</xdr:col>
      <xdr:colOff>457200</xdr:colOff>
      <xdr:row>79</xdr:row>
      <xdr:rowOff>95250</xdr:rowOff>
    </xdr:to>
    <xdr:sp>
      <xdr:nvSpPr>
        <xdr:cNvPr id="5" name="Line 67"/>
        <xdr:cNvSpPr>
          <a:spLocks/>
        </xdr:cNvSpPr>
      </xdr:nvSpPr>
      <xdr:spPr>
        <a:xfrm>
          <a:off x="1495425" y="11706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79</xdr:row>
      <xdr:rowOff>19050</xdr:rowOff>
    </xdr:from>
    <xdr:to>
      <xdr:col>8</xdr:col>
      <xdr:colOff>266700</xdr:colOff>
      <xdr:row>80</xdr:row>
      <xdr:rowOff>66675</xdr:rowOff>
    </xdr:to>
    <xdr:sp>
      <xdr:nvSpPr>
        <xdr:cNvPr id="6" name="Line 68"/>
        <xdr:cNvSpPr>
          <a:spLocks/>
        </xdr:cNvSpPr>
      </xdr:nvSpPr>
      <xdr:spPr>
        <a:xfrm>
          <a:off x="4838700" y="11630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76200</xdr:rowOff>
    </xdr:from>
    <xdr:to>
      <xdr:col>9</xdr:col>
      <xdr:colOff>266700</xdr:colOff>
      <xdr:row>51</xdr:row>
      <xdr:rowOff>19050</xdr:rowOff>
    </xdr:to>
    <xdr:sp>
      <xdr:nvSpPr>
        <xdr:cNvPr id="7" name="Line 69"/>
        <xdr:cNvSpPr>
          <a:spLocks/>
        </xdr:cNvSpPr>
      </xdr:nvSpPr>
      <xdr:spPr>
        <a:xfrm>
          <a:off x="5372100" y="7334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62</xdr:row>
      <xdr:rowOff>133350</xdr:rowOff>
    </xdr:from>
    <xdr:to>
      <xdr:col>11</xdr:col>
      <xdr:colOff>85725</xdr:colOff>
      <xdr:row>62</xdr:row>
      <xdr:rowOff>133350</xdr:rowOff>
    </xdr:to>
    <xdr:sp>
      <xdr:nvSpPr>
        <xdr:cNvPr id="8" name="Line 70"/>
        <xdr:cNvSpPr>
          <a:spLocks/>
        </xdr:cNvSpPr>
      </xdr:nvSpPr>
      <xdr:spPr>
        <a:xfrm>
          <a:off x="5857875" y="9163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151</xdr:row>
      <xdr:rowOff>123825</xdr:rowOff>
    </xdr:from>
    <xdr:to>
      <xdr:col>2</xdr:col>
      <xdr:colOff>457200</xdr:colOff>
      <xdr:row>151</xdr:row>
      <xdr:rowOff>123825</xdr:rowOff>
    </xdr:to>
    <xdr:sp>
      <xdr:nvSpPr>
        <xdr:cNvPr id="9" name="Line 71"/>
        <xdr:cNvSpPr>
          <a:spLocks/>
        </xdr:cNvSpPr>
      </xdr:nvSpPr>
      <xdr:spPr>
        <a:xfrm>
          <a:off x="1495425" y="2268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154</xdr:row>
      <xdr:rowOff>0</xdr:rowOff>
    </xdr:from>
    <xdr:to>
      <xdr:col>7</xdr:col>
      <xdr:colOff>285750</xdr:colOff>
      <xdr:row>154</xdr:row>
      <xdr:rowOff>0</xdr:rowOff>
    </xdr:to>
    <xdr:sp>
      <xdr:nvSpPr>
        <xdr:cNvPr id="10" name="Line 72"/>
        <xdr:cNvSpPr>
          <a:spLocks/>
        </xdr:cNvSpPr>
      </xdr:nvSpPr>
      <xdr:spPr>
        <a:xfrm>
          <a:off x="4362450" y="2316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308</xdr:row>
      <xdr:rowOff>0</xdr:rowOff>
    </xdr:from>
    <xdr:to>
      <xdr:col>7</xdr:col>
      <xdr:colOff>285750</xdr:colOff>
      <xdr:row>308</xdr:row>
      <xdr:rowOff>0</xdr:rowOff>
    </xdr:to>
    <xdr:sp>
      <xdr:nvSpPr>
        <xdr:cNvPr id="11" name="Line 76"/>
        <xdr:cNvSpPr>
          <a:spLocks/>
        </xdr:cNvSpPr>
      </xdr:nvSpPr>
      <xdr:spPr>
        <a:xfrm flipH="1">
          <a:off x="4362450" y="480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486</xdr:row>
      <xdr:rowOff>9525</xdr:rowOff>
    </xdr:from>
    <xdr:to>
      <xdr:col>5</xdr:col>
      <xdr:colOff>238125</xdr:colOff>
      <xdr:row>487</xdr:row>
      <xdr:rowOff>0</xdr:rowOff>
    </xdr:to>
    <xdr:sp>
      <xdr:nvSpPr>
        <xdr:cNvPr id="12" name="Line 83"/>
        <xdr:cNvSpPr>
          <a:spLocks/>
        </xdr:cNvSpPr>
      </xdr:nvSpPr>
      <xdr:spPr>
        <a:xfrm>
          <a:off x="3248025" y="76409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488</xdr:row>
      <xdr:rowOff>114300</xdr:rowOff>
    </xdr:from>
    <xdr:to>
      <xdr:col>2</xdr:col>
      <xdr:colOff>342900</xdr:colOff>
      <xdr:row>488</xdr:row>
      <xdr:rowOff>114300</xdr:rowOff>
    </xdr:to>
    <xdr:sp>
      <xdr:nvSpPr>
        <xdr:cNvPr id="13" name="Line 84"/>
        <xdr:cNvSpPr>
          <a:spLocks/>
        </xdr:cNvSpPr>
      </xdr:nvSpPr>
      <xdr:spPr>
        <a:xfrm flipH="1">
          <a:off x="1466850" y="76790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487</xdr:row>
      <xdr:rowOff>66675</xdr:rowOff>
    </xdr:from>
    <xdr:to>
      <xdr:col>6</xdr:col>
      <xdr:colOff>228600</xdr:colOff>
      <xdr:row>488</xdr:row>
      <xdr:rowOff>190500</xdr:rowOff>
    </xdr:to>
    <xdr:sp>
      <xdr:nvSpPr>
        <xdr:cNvPr id="14" name="Line 85"/>
        <xdr:cNvSpPr>
          <a:spLocks/>
        </xdr:cNvSpPr>
      </xdr:nvSpPr>
      <xdr:spPr>
        <a:xfrm flipH="1">
          <a:off x="3733800" y="766667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486</xdr:row>
      <xdr:rowOff>123825</xdr:rowOff>
    </xdr:from>
    <xdr:to>
      <xdr:col>11</xdr:col>
      <xdr:colOff>66675</xdr:colOff>
      <xdr:row>486</xdr:row>
      <xdr:rowOff>123825</xdr:rowOff>
    </xdr:to>
    <xdr:sp>
      <xdr:nvSpPr>
        <xdr:cNvPr id="15" name="Line 86"/>
        <xdr:cNvSpPr>
          <a:spLocks/>
        </xdr:cNvSpPr>
      </xdr:nvSpPr>
      <xdr:spPr>
        <a:xfrm>
          <a:off x="5610225" y="7652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485</xdr:row>
      <xdr:rowOff>28575</xdr:rowOff>
    </xdr:from>
    <xdr:to>
      <xdr:col>10</xdr:col>
      <xdr:colOff>247650</xdr:colOff>
      <xdr:row>487</xdr:row>
      <xdr:rowOff>28575</xdr:rowOff>
    </xdr:to>
    <xdr:sp>
      <xdr:nvSpPr>
        <xdr:cNvPr id="16" name="Line 87"/>
        <xdr:cNvSpPr>
          <a:spLocks/>
        </xdr:cNvSpPr>
      </xdr:nvSpPr>
      <xdr:spPr>
        <a:xfrm flipH="1">
          <a:off x="5705475" y="76352400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486</xdr:row>
      <xdr:rowOff>0</xdr:rowOff>
    </xdr:from>
    <xdr:to>
      <xdr:col>10</xdr:col>
      <xdr:colOff>276225</xdr:colOff>
      <xdr:row>486</xdr:row>
      <xdr:rowOff>190500</xdr:rowOff>
    </xdr:to>
    <xdr:sp>
      <xdr:nvSpPr>
        <xdr:cNvPr id="17" name="Arc 88"/>
        <xdr:cNvSpPr>
          <a:spLocks/>
        </xdr:cNvSpPr>
      </xdr:nvSpPr>
      <xdr:spPr>
        <a:xfrm>
          <a:off x="5867400" y="76400025"/>
          <a:ext cx="123825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485</xdr:row>
      <xdr:rowOff>0</xdr:rowOff>
    </xdr:from>
    <xdr:to>
      <xdr:col>11</xdr:col>
      <xdr:colOff>219075</xdr:colOff>
      <xdr:row>486</xdr:row>
      <xdr:rowOff>123825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5981700" y="763238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9</xdr:col>
      <xdr:colOff>438150</xdr:colOff>
      <xdr:row>509</xdr:row>
      <xdr:rowOff>66675</xdr:rowOff>
    </xdr:from>
    <xdr:to>
      <xdr:col>11</xdr:col>
      <xdr:colOff>0</xdr:colOff>
      <xdr:row>509</xdr:row>
      <xdr:rowOff>66675</xdr:rowOff>
    </xdr:to>
    <xdr:sp>
      <xdr:nvSpPr>
        <xdr:cNvPr id="19" name="Line 90"/>
        <xdr:cNvSpPr>
          <a:spLocks/>
        </xdr:cNvSpPr>
      </xdr:nvSpPr>
      <xdr:spPr>
        <a:xfrm>
          <a:off x="5543550" y="79581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508</xdr:row>
      <xdr:rowOff>47625</xdr:rowOff>
    </xdr:from>
    <xdr:to>
      <xdr:col>10</xdr:col>
      <xdr:colOff>152400</xdr:colOff>
      <xdr:row>510</xdr:row>
      <xdr:rowOff>19050</xdr:rowOff>
    </xdr:to>
    <xdr:sp>
      <xdr:nvSpPr>
        <xdr:cNvPr id="20" name="Line 91"/>
        <xdr:cNvSpPr>
          <a:spLocks/>
        </xdr:cNvSpPr>
      </xdr:nvSpPr>
      <xdr:spPr>
        <a:xfrm flipH="1">
          <a:off x="5553075" y="79486125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508</xdr:row>
      <xdr:rowOff>38100</xdr:rowOff>
    </xdr:from>
    <xdr:to>
      <xdr:col>10</xdr:col>
      <xdr:colOff>114300</xdr:colOff>
      <xdr:row>509</xdr:row>
      <xdr:rowOff>152400</xdr:rowOff>
    </xdr:to>
    <xdr:sp>
      <xdr:nvSpPr>
        <xdr:cNvPr id="21" name="Arc 92"/>
        <xdr:cNvSpPr>
          <a:spLocks/>
        </xdr:cNvSpPr>
      </xdr:nvSpPr>
      <xdr:spPr>
        <a:xfrm>
          <a:off x="5772150" y="79476600"/>
          <a:ext cx="5715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507</xdr:row>
      <xdr:rowOff>190500</xdr:rowOff>
    </xdr:from>
    <xdr:to>
      <xdr:col>11</xdr:col>
      <xdr:colOff>114300</xdr:colOff>
      <xdr:row>509</xdr:row>
      <xdr:rowOff>123825</xdr:rowOff>
    </xdr:to>
    <xdr:sp>
      <xdr:nvSpPr>
        <xdr:cNvPr id="22" name="TextBox 93"/>
        <xdr:cNvSpPr txBox="1">
          <a:spLocks noChangeArrowheads="1"/>
        </xdr:cNvSpPr>
      </xdr:nvSpPr>
      <xdr:spPr>
        <a:xfrm>
          <a:off x="5876925" y="794289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509</xdr:row>
      <xdr:rowOff>9525</xdr:rowOff>
    </xdr:from>
    <xdr:to>
      <xdr:col>5</xdr:col>
      <xdr:colOff>238125</xdr:colOff>
      <xdr:row>510</xdr:row>
      <xdr:rowOff>0</xdr:rowOff>
    </xdr:to>
    <xdr:sp>
      <xdr:nvSpPr>
        <xdr:cNvPr id="23" name="Line 94"/>
        <xdr:cNvSpPr>
          <a:spLocks/>
        </xdr:cNvSpPr>
      </xdr:nvSpPr>
      <xdr:spPr>
        <a:xfrm>
          <a:off x="3248025" y="79524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510</xdr:row>
      <xdr:rowOff>38100</xdr:rowOff>
    </xdr:from>
    <xdr:to>
      <xdr:col>6</xdr:col>
      <xdr:colOff>180975</xdr:colOff>
      <xdr:row>511</xdr:row>
      <xdr:rowOff>142875</xdr:rowOff>
    </xdr:to>
    <xdr:sp>
      <xdr:nvSpPr>
        <xdr:cNvPr id="24" name="Line 95"/>
        <xdr:cNvSpPr>
          <a:spLocks/>
        </xdr:cNvSpPr>
      </xdr:nvSpPr>
      <xdr:spPr>
        <a:xfrm>
          <a:off x="3686175" y="79752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511</xdr:row>
      <xdr:rowOff>66675</xdr:rowOff>
    </xdr:from>
    <xdr:to>
      <xdr:col>2</xdr:col>
      <xdr:colOff>352425</xdr:colOff>
      <xdr:row>511</xdr:row>
      <xdr:rowOff>66675</xdr:rowOff>
    </xdr:to>
    <xdr:sp>
      <xdr:nvSpPr>
        <xdr:cNvPr id="25" name="Line 96"/>
        <xdr:cNvSpPr>
          <a:spLocks/>
        </xdr:cNvSpPr>
      </xdr:nvSpPr>
      <xdr:spPr>
        <a:xfrm flipH="1">
          <a:off x="1476375" y="79857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515</xdr:row>
      <xdr:rowOff>85725</xdr:rowOff>
    </xdr:from>
    <xdr:to>
      <xdr:col>1</xdr:col>
      <xdr:colOff>466725</xdr:colOff>
      <xdr:row>515</xdr:row>
      <xdr:rowOff>85725</xdr:rowOff>
    </xdr:to>
    <xdr:sp>
      <xdr:nvSpPr>
        <xdr:cNvPr id="26" name="Line 97"/>
        <xdr:cNvSpPr>
          <a:spLocks/>
        </xdr:cNvSpPr>
      </xdr:nvSpPr>
      <xdr:spPr>
        <a:xfrm>
          <a:off x="523875" y="80552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514</xdr:row>
      <xdr:rowOff>76200</xdr:rowOff>
    </xdr:from>
    <xdr:to>
      <xdr:col>1</xdr:col>
      <xdr:colOff>295275</xdr:colOff>
      <xdr:row>515</xdr:row>
      <xdr:rowOff>123825</xdr:rowOff>
    </xdr:to>
    <xdr:sp>
      <xdr:nvSpPr>
        <xdr:cNvPr id="27" name="Line 98"/>
        <xdr:cNvSpPr>
          <a:spLocks/>
        </xdr:cNvSpPr>
      </xdr:nvSpPr>
      <xdr:spPr>
        <a:xfrm flipH="1">
          <a:off x="647700" y="80343375"/>
          <a:ext cx="457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514</xdr:row>
      <xdr:rowOff>123825</xdr:rowOff>
    </xdr:from>
    <xdr:to>
      <xdr:col>1</xdr:col>
      <xdr:colOff>123825</xdr:colOff>
      <xdr:row>515</xdr:row>
      <xdr:rowOff>152400</xdr:rowOff>
    </xdr:to>
    <xdr:sp>
      <xdr:nvSpPr>
        <xdr:cNvPr id="28" name="Arc 99"/>
        <xdr:cNvSpPr>
          <a:spLocks/>
        </xdr:cNvSpPr>
      </xdr:nvSpPr>
      <xdr:spPr>
        <a:xfrm>
          <a:off x="809625" y="80391000"/>
          <a:ext cx="123825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514</xdr:row>
      <xdr:rowOff>57150</xdr:rowOff>
    </xdr:from>
    <xdr:to>
      <xdr:col>1</xdr:col>
      <xdr:colOff>514350</xdr:colOff>
      <xdr:row>515</xdr:row>
      <xdr:rowOff>66675</xdr:rowOff>
    </xdr:to>
    <xdr:sp>
      <xdr:nvSpPr>
        <xdr:cNvPr id="29" name="TextBox 100"/>
        <xdr:cNvSpPr txBox="1">
          <a:spLocks noChangeArrowheads="1"/>
        </xdr:cNvSpPr>
      </xdr:nvSpPr>
      <xdr:spPr>
        <a:xfrm>
          <a:off x="1095375" y="803243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514</xdr:row>
      <xdr:rowOff>85725</xdr:rowOff>
    </xdr:from>
    <xdr:to>
      <xdr:col>5</xdr:col>
      <xdr:colOff>238125</xdr:colOff>
      <xdr:row>517</xdr:row>
      <xdr:rowOff>57150</xdr:rowOff>
    </xdr:to>
    <xdr:sp>
      <xdr:nvSpPr>
        <xdr:cNvPr id="30" name="Line 101"/>
        <xdr:cNvSpPr>
          <a:spLocks/>
        </xdr:cNvSpPr>
      </xdr:nvSpPr>
      <xdr:spPr>
        <a:xfrm flipV="1">
          <a:off x="3248025" y="803529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514</xdr:row>
      <xdr:rowOff>114300</xdr:rowOff>
    </xdr:from>
    <xdr:to>
      <xdr:col>6</xdr:col>
      <xdr:colOff>9525</xdr:colOff>
      <xdr:row>517</xdr:row>
      <xdr:rowOff>9525</xdr:rowOff>
    </xdr:to>
    <xdr:sp>
      <xdr:nvSpPr>
        <xdr:cNvPr id="31" name="Line 102"/>
        <xdr:cNvSpPr>
          <a:spLocks/>
        </xdr:cNvSpPr>
      </xdr:nvSpPr>
      <xdr:spPr>
        <a:xfrm>
          <a:off x="3114675" y="80381475"/>
          <a:ext cx="400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515</xdr:row>
      <xdr:rowOff>95250</xdr:rowOff>
    </xdr:from>
    <xdr:to>
      <xdr:col>5</xdr:col>
      <xdr:colOff>371475</xdr:colOff>
      <xdr:row>516</xdr:row>
      <xdr:rowOff>85725</xdr:rowOff>
    </xdr:to>
    <xdr:sp>
      <xdr:nvSpPr>
        <xdr:cNvPr id="32" name="Arc 103"/>
        <xdr:cNvSpPr>
          <a:spLocks/>
        </xdr:cNvSpPr>
      </xdr:nvSpPr>
      <xdr:spPr>
        <a:xfrm flipV="1">
          <a:off x="3171825" y="80562450"/>
          <a:ext cx="20955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516</xdr:row>
      <xdr:rowOff>28575</xdr:rowOff>
    </xdr:from>
    <xdr:to>
      <xdr:col>6</xdr:col>
      <xdr:colOff>142875</xdr:colOff>
      <xdr:row>517</xdr:row>
      <xdr:rowOff>38100</xdr:rowOff>
    </xdr:to>
    <xdr:sp>
      <xdr:nvSpPr>
        <xdr:cNvPr id="33" name="TextBox 104"/>
        <xdr:cNvSpPr txBox="1">
          <a:spLocks noChangeArrowheads="1"/>
        </xdr:cNvSpPr>
      </xdr:nvSpPr>
      <xdr:spPr>
        <a:xfrm>
          <a:off x="3257550" y="806958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9</xdr:col>
      <xdr:colOff>485775</xdr:colOff>
      <xdr:row>537</xdr:row>
      <xdr:rowOff>180975</xdr:rowOff>
    </xdr:from>
    <xdr:to>
      <xdr:col>11</xdr:col>
      <xdr:colOff>47625</xdr:colOff>
      <xdr:row>537</xdr:row>
      <xdr:rowOff>180975</xdr:rowOff>
    </xdr:to>
    <xdr:sp>
      <xdr:nvSpPr>
        <xdr:cNvPr id="34" name="Line 105"/>
        <xdr:cNvSpPr>
          <a:spLocks/>
        </xdr:cNvSpPr>
      </xdr:nvSpPr>
      <xdr:spPr>
        <a:xfrm>
          <a:off x="5591175" y="83686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536</xdr:row>
      <xdr:rowOff>47625</xdr:rowOff>
    </xdr:from>
    <xdr:to>
      <xdr:col>10</xdr:col>
      <xdr:colOff>219075</xdr:colOff>
      <xdr:row>538</xdr:row>
      <xdr:rowOff>19050</xdr:rowOff>
    </xdr:to>
    <xdr:sp>
      <xdr:nvSpPr>
        <xdr:cNvPr id="35" name="Line 106"/>
        <xdr:cNvSpPr>
          <a:spLocks/>
        </xdr:cNvSpPr>
      </xdr:nvSpPr>
      <xdr:spPr>
        <a:xfrm flipH="1">
          <a:off x="5619750" y="834771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537</xdr:row>
      <xdr:rowOff>47625</xdr:rowOff>
    </xdr:from>
    <xdr:to>
      <xdr:col>10</xdr:col>
      <xdr:colOff>38100</xdr:colOff>
      <xdr:row>538</xdr:row>
      <xdr:rowOff>38100</xdr:rowOff>
    </xdr:to>
    <xdr:sp>
      <xdr:nvSpPr>
        <xdr:cNvPr id="36" name="Arc 107"/>
        <xdr:cNvSpPr>
          <a:spLocks/>
        </xdr:cNvSpPr>
      </xdr:nvSpPr>
      <xdr:spPr>
        <a:xfrm>
          <a:off x="5715000" y="83553300"/>
          <a:ext cx="3810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537</xdr:row>
      <xdr:rowOff>28575</xdr:rowOff>
    </xdr:from>
    <xdr:to>
      <xdr:col>11</xdr:col>
      <xdr:colOff>123825</xdr:colOff>
      <xdr:row>538</xdr:row>
      <xdr:rowOff>38100</xdr:rowOff>
    </xdr:to>
    <xdr:sp>
      <xdr:nvSpPr>
        <xdr:cNvPr id="37" name="TextBox 108"/>
        <xdr:cNvSpPr txBox="1">
          <a:spLocks noChangeArrowheads="1"/>
        </xdr:cNvSpPr>
      </xdr:nvSpPr>
      <xdr:spPr>
        <a:xfrm>
          <a:off x="5886450" y="835342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537</xdr:row>
      <xdr:rowOff>9525</xdr:rowOff>
    </xdr:from>
    <xdr:to>
      <xdr:col>5</xdr:col>
      <xdr:colOff>238125</xdr:colOff>
      <xdr:row>538</xdr:row>
      <xdr:rowOff>0</xdr:rowOff>
    </xdr:to>
    <xdr:sp>
      <xdr:nvSpPr>
        <xdr:cNvPr id="38" name="Line 109"/>
        <xdr:cNvSpPr>
          <a:spLocks/>
        </xdr:cNvSpPr>
      </xdr:nvSpPr>
      <xdr:spPr>
        <a:xfrm>
          <a:off x="3248025" y="83515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539</xdr:row>
      <xdr:rowOff>114300</xdr:rowOff>
    </xdr:from>
    <xdr:to>
      <xdr:col>2</xdr:col>
      <xdr:colOff>371475</xdr:colOff>
      <xdr:row>539</xdr:row>
      <xdr:rowOff>114300</xdr:rowOff>
    </xdr:to>
    <xdr:sp>
      <xdr:nvSpPr>
        <xdr:cNvPr id="39" name="Line 110"/>
        <xdr:cNvSpPr>
          <a:spLocks/>
        </xdr:cNvSpPr>
      </xdr:nvSpPr>
      <xdr:spPr>
        <a:xfrm flipH="1">
          <a:off x="1495425" y="83896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543</xdr:row>
      <xdr:rowOff>123825</xdr:rowOff>
    </xdr:from>
    <xdr:to>
      <xdr:col>1</xdr:col>
      <xdr:colOff>504825</xdr:colOff>
      <xdr:row>543</xdr:row>
      <xdr:rowOff>123825</xdr:rowOff>
    </xdr:to>
    <xdr:sp>
      <xdr:nvSpPr>
        <xdr:cNvPr id="40" name="Line 111"/>
        <xdr:cNvSpPr>
          <a:spLocks/>
        </xdr:cNvSpPr>
      </xdr:nvSpPr>
      <xdr:spPr>
        <a:xfrm>
          <a:off x="695325" y="84458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542</xdr:row>
      <xdr:rowOff>76200</xdr:rowOff>
    </xdr:from>
    <xdr:to>
      <xdr:col>1</xdr:col>
      <xdr:colOff>238125</xdr:colOff>
      <xdr:row>544</xdr:row>
      <xdr:rowOff>19050</xdr:rowOff>
    </xdr:to>
    <xdr:sp>
      <xdr:nvSpPr>
        <xdr:cNvPr id="41" name="Line 112"/>
        <xdr:cNvSpPr>
          <a:spLocks/>
        </xdr:cNvSpPr>
      </xdr:nvSpPr>
      <xdr:spPr>
        <a:xfrm flipH="1">
          <a:off x="590550" y="8433435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543</xdr:row>
      <xdr:rowOff>38100</xdr:rowOff>
    </xdr:from>
    <xdr:to>
      <xdr:col>1</xdr:col>
      <xdr:colOff>161925</xdr:colOff>
      <xdr:row>543</xdr:row>
      <xdr:rowOff>190500</xdr:rowOff>
    </xdr:to>
    <xdr:sp>
      <xdr:nvSpPr>
        <xdr:cNvPr id="42" name="Arc 113"/>
        <xdr:cNvSpPr>
          <a:spLocks/>
        </xdr:cNvSpPr>
      </xdr:nvSpPr>
      <xdr:spPr>
        <a:xfrm>
          <a:off x="847725" y="84372450"/>
          <a:ext cx="123825" cy="1524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542</xdr:row>
      <xdr:rowOff>38100</xdr:rowOff>
    </xdr:from>
    <xdr:to>
      <xdr:col>1</xdr:col>
      <xdr:colOff>504825</xdr:colOff>
      <xdr:row>543</xdr:row>
      <xdr:rowOff>133350</xdr:rowOff>
    </xdr:to>
    <xdr:sp>
      <xdr:nvSpPr>
        <xdr:cNvPr id="43" name="TextBox 114"/>
        <xdr:cNvSpPr txBox="1">
          <a:spLocks noChangeArrowheads="1"/>
        </xdr:cNvSpPr>
      </xdr:nvSpPr>
      <xdr:spPr>
        <a:xfrm>
          <a:off x="1085850" y="842962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542</xdr:row>
      <xdr:rowOff>76200</xdr:rowOff>
    </xdr:from>
    <xdr:to>
      <xdr:col>5</xdr:col>
      <xdr:colOff>238125</xdr:colOff>
      <xdr:row>545</xdr:row>
      <xdr:rowOff>0</xdr:rowOff>
    </xdr:to>
    <xdr:sp>
      <xdr:nvSpPr>
        <xdr:cNvPr id="44" name="Line 115"/>
        <xdr:cNvSpPr>
          <a:spLocks/>
        </xdr:cNvSpPr>
      </xdr:nvSpPr>
      <xdr:spPr>
        <a:xfrm flipV="1">
          <a:off x="3248025" y="843343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542</xdr:row>
      <xdr:rowOff>76200</xdr:rowOff>
    </xdr:from>
    <xdr:to>
      <xdr:col>6</xdr:col>
      <xdr:colOff>9525</xdr:colOff>
      <xdr:row>545</xdr:row>
      <xdr:rowOff>0</xdr:rowOff>
    </xdr:to>
    <xdr:sp>
      <xdr:nvSpPr>
        <xdr:cNvPr id="45" name="Line 116"/>
        <xdr:cNvSpPr>
          <a:spLocks/>
        </xdr:cNvSpPr>
      </xdr:nvSpPr>
      <xdr:spPr>
        <a:xfrm>
          <a:off x="3114675" y="84334350"/>
          <a:ext cx="400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543</xdr:row>
      <xdr:rowOff>95250</xdr:rowOff>
    </xdr:from>
    <xdr:to>
      <xdr:col>5</xdr:col>
      <xdr:colOff>371475</xdr:colOff>
      <xdr:row>544</xdr:row>
      <xdr:rowOff>85725</xdr:rowOff>
    </xdr:to>
    <xdr:sp>
      <xdr:nvSpPr>
        <xdr:cNvPr id="46" name="Arc 117"/>
        <xdr:cNvSpPr>
          <a:spLocks/>
        </xdr:cNvSpPr>
      </xdr:nvSpPr>
      <xdr:spPr>
        <a:xfrm flipV="1">
          <a:off x="3171825" y="84429600"/>
          <a:ext cx="209550" cy="1905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544</xdr:row>
      <xdr:rowOff>57150</xdr:rowOff>
    </xdr:from>
    <xdr:to>
      <xdr:col>6</xdr:col>
      <xdr:colOff>142875</xdr:colOff>
      <xdr:row>545</xdr:row>
      <xdr:rowOff>0</xdr:rowOff>
    </xdr:to>
    <xdr:sp>
      <xdr:nvSpPr>
        <xdr:cNvPr id="47" name="TextBox 118"/>
        <xdr:cNvSpPr txBox="1">
          <a:spLocks noChangeArrowheads="1"/>
        </xdr:cNvSpPr>
      </xdr:nvSpPr>
      <xdr:spPr>
        <a:xfrm>
          <a:off x="3257550" y="84591525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6</xdr:col>
      <xdr:colOff>295275</xdr:colOff>
      <xdr:row>539</xdr:row>
      <xdr:rowOff>9525</xdr:rowOff>
    </xdr:from>
    <xdr:to>
      <xdr:col>6</xdr:col>
      <xdr:colOff>295275</xdr:colOff>
      <xdr:row>540</xdr:row>
      <xdr:rowOff>0</xdr:rowOff>
    </xdr:to>
    <xdr:sp>
      <xdr:nvSpPr>
        <xdr:cNvPr id="48" name="Line 119"/>
        <xdr:cNvSpPr>
          <a:spLocks/>
        </xdr:cNvSpPr>
      </xdr:nvSpPr>
      <xdr:spPr>
        <a:xfrm>
          <a:off x="3800475" y="83791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565</xdr:row>
      <xdr:rowOff>9525</xdr:rowOff>
    </xdr:from>
    <xdr:to>
      <xdr:col>5</xdr:col>
      <xdr:colOff>238125</xdr:colOff>
      <xdr:row>566</xdr:row>
      <xdr:rowOff>0</xdr:rowOff>
    </xdr:to>
    <xdr:sp>
      <xdr:nvSpPr>
        <xdr:cNvPr id="49" name="Line 120"/>
        <xdr:cNvSpPr>
          <a:spLocks/>
        </xdr:cNvSpPr>
      </xdr:nvSpPr>
      <xdr:spPr>
        <a:xfrm>
          <a:off x="3248025" y="87382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563</xdr:row>
      <xdr:rowOff>95250</xdr:rowOff>
    </xdr:from>
    <xdr:to>
      <xdr:col>12</xdr:col>
      <xdr:colOff>95250</xdr:colOff>
      <xdr:row>563</xdr:row>
      <xdr:rowOff>104775</xdr:rowOff>
    </xdr:to>
    <xdr:sp>
      <xdr:nvSpPr>
        <xdr:cNvPr id="50" name="Line 121"/>
        <xdr:cNvSpPr>
          <a:spLocks/>
        </xdr:cNvSpPr>
      </xdr:nvSpPr>
      <xdr:spPr>
        <a:xfrm flipH="1" flipV="1">
          <a:off x="6324600" y="871918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569</xdr:row>
      <xdr:rowOff>9525</xdr:rowOff>
    </xdr:from>
    <xdr:to>
      <xdr:col>5</xdr:col>
      <xdr:colOff>238125</xdr:colOff>
      <xdr:row>570</xdr:row>
      <xdr:rowOff>0</xdr:rowOff>
    </xdr:to>
    <xdr:sp>
      <xdr:nvSpPr>
        <xdr:cNvPr id="51" name="Line 122"/>
        <xdr:cNvSpPr>
          <a:spLocks/>
        </xdr:cNvSpPr>
      </xdr:nvSpPr>
      <xdr:spPr>
        <a:xfrm>
          <a:off x="3248025" y="87934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567</xdr:row>
      <xdr:rowOff>95250</xdr:rowOff>
    </xdr:from>
    <xdr:to>
      <xdr:col>12</xdr:col>
      <xdr:colOff>104775</xdr:colOff>
      <xdr:row>567</xdr:row>
      <xdr:rowOff>95250</xdr:rowOff>
    </xdr:to>
    <xdr:sp>
      <xdr:nvSpPr>
        <xdr:cNvPr id="52" name="Line 123"/>
        <xdr:cNvSpPr>
          <a:spLocks/>
        </xdr:cNvSpPr>
      </xdr:nvSpPr>
      <xdr:spPr>
        <a:xfrm flipH="1">
          <a:off x="6324600" y="87744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571</xdr:row>
      <xdr:rowOff>114300</xdr:rowOff>
    </xdr:from>
    <xdr:to>
      <xdr:col>2</xdr:col>
      <xdr:colOff>342900</xdr:colOff>
      <xdr:row>571</xdr:row>
      <xdr:rowOff>114300</xdr:rowOff>
    </xdr:to>
    <xdr:sp>
      <xdr:nvSpPr>
        <xdr:cNvPr id="53" name="Line 124"/>
        <xdr:cNvSpPr>
          <a:spLocks/>
        </xdr:cNvSpPr>
      </xdr:nvSpPr>
      <xdr:spPr>
        <a:xfrm flipH="1">
          <a:off x="1466850" y="88315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570</xdr:row>
      <xdr:rowOff>19050</xdr:rowOff>
    </xdr:from>
    <xdr:to>
      <xdr:col>6</xdr:col>
      <xdr:colOff>180975</xdr:colOff>
      <xdr:row>571</xdr:row>
      <xdr:rowOff>142875</xdr:rowOff>
    </xdr:to>
    <xdr:sp>
      <xdr:nvSpPr>
        <xdr:cNvPr id="54" name="Line 125"/>
        <xdr:cNvSpPr>
          <a:spLocks/>
        </xdr:cNvSpPr>
      </xdr:nvSpPr>
      <xdr:spPr>
        <a:xfrm flipH="1">
          <a:off x="3686175" y="88144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125</xdr:row>
      <xdr:rowOff>95250</xdr:rowOff>
    </xdr:from>
    <xdr:to>
      <xdr:col>2</xdr:col>
      <xdr:colOff>457200</xdr:colOff>
      <xdr:row>125</xdr:row>
      <xdr:rowOff>95250</xdr:rowOff>
    </xdr:to>
    <xdr:sp>
      <xdr:nvSpPr>
        <xdr:cNvPr id="55" name="Line 147"/>
        <xdr:cNvSpPr>
          <a:spLocks/>
        </xdr:cNvSpPr>
      </xdr:nvSpPr>
      <xdr:spPr>
        <a:xfrm>
          <a:off x="1495425" y="18754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125</xdr:row>
      <xdr:rowOff>19050</xdr:rowOff>
    </xdr:from>
    <xdr:to>
      <xdr:col>8</xdr:col>
      <xdr:colOff>266700</xdr:colOff>
      <xdr:row>126</xdr:row>
      <xdr:rowOff>85725</xdr:rowOff>
    </xdr:to>
    <xdr:sp>
      <xdr:nvSpPr>
        <xdr:cNvPr id="56" name="Line 148"/>
        <xdr:cNvSpPr>
          <a:spLocks/>
        </xdr:cNvSpPr>
      </xdr:nvSpPr>
      <xdr:spPr>
        <a:xfrm>
          <a:off x="4838700" y="18678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96</xdr:row>
      <xdr:rowOff>76200</xdr:rowOff>
    </xdr:from>
    <xdr:to>
      <xdr:col>9</xdr:col>
      <xdr:colOff>266700</xdr:colOff>
      <xdr:row>97</xdr:row>
      <xdr:rowOff>161925</xdr:rowOff>
    </xdr:to>
    <xdr:sp>
      <xdr:nvSpPr>
        <xdr:cNvPr id="57" name="Line 149"/>
        <xdr:cNvSpPr>
          <a:spLocks/>
        </xdr:cNvSpPr>
      </xdr:nvSpPr>
      <xdr:spPr>
        <a:xfrm>
          <a:off x="5372100" y="14468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110</xdr:row>
      <xdr:rowOff>104775</xdr:rowOff>
    </xdr:from>
    <xdr:to>
      <xdr:col>11</xdr:col>
      <xdr:colOff>114300</xdr:colOff>
      <xdr:row>110</xdr:row>
      <xdr:rowOff>104775</xdr:rowOff>
    </xdr:to>
    <xdr:sp>
      <xdr:nvSpPr>
        <xdr:cNvPr id="58" name="Line 153"/>
        <xdr:cNvSpPr>
          <a:spLocks/>
        </xdr:cNvSpPr>
      </xdr:nvSpPr>
      <xdr:spPr>
        <a:xfrm flipH="1">
          <a:off x="5981700" y="16497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164</xdr:row>
      <xdr:rowOff>19050</xdr:rowOff>
    </xdr:from>
    <xdr:to>
      <xdr:col>10</xdr:col>
      <xdr:colOff>266700</xdr:colOff>
      <xdr:row>165</xdr:row>
      <xdr:rowOff>0</xdr:rowOff>
    </xdr:to>
    <xdr:sp>
      <xdr:nvSpPr>
        <xdr:cNvPr id="59" name="Line 154"/>
        <xdr:cNvSpPr>
          <a:spLocks/>
        </xdr:cNvSpPr>
      </xdr:nvSpPr>
      <xdr:spPr>
        <a:xfrm flipV="1">
          <a:off x="5981700" y="24936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170</xdr:row>
      <xdr:rowOff>19050</xdr:rowOff>
    </xdr:from>
    <xdr:to>
      <xdr:col>10</xdr:col>
      <xdr:colOff>266700</xdr:colOff>
      <xdr:row>171</xdr:row>
      <xdr:rowOff>0</xdr:rowOff>
    </xdr:to>
    <xdr:sp>
      <xdr:nvSpPr>
        <xdr:cNvPr id="60" name="Line 155"/>
        <xdr:cNvSpPr>
          <a:spLocks/>
        </xdr:cNvSpPr>
      </xdr:nvSpPr>
      <xdr:spPr>
        <a:xfrm flipV="1">
          <a:off x="5981700" y="26012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174</xdr:row>
      <xdr:rowOff>19050</xdr:rowOff>
    </xdr:from>
    <xdr:to>
      <xdr:col>3</xdr:col>
      <xdr:colOff>247650</xdr:colOff>
      <xdr:row>175</xdr:row>
      <xdr:rowOff>38100</xdr:rowOff>
    </xdr:to>
    <xdr:sp>
      <xdr:nvSpPr>
        <xdr:cNvPr id="61" name="Line 157"/>
        <xdr:cNvSpPr>
          <a:spLocks/>
        </xdr:cNvSpPr>
      </xdr:nvSpPr>
      <xdr:spPr>
        <a:xfrm>
          <a:off x="2038350" y="26565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200</xdr:row>
      <xdr:rowOff>123825</xdr:rowOff>
    </xdr:from>
    <xdr:to>
      <xdr:col>2</xdr:col>
      <xdr:colOff>457200</xdr:colOff>
      <xdr:row>200</xdr:row>
      <xdr:rowOff>123825</xdr:rowOff>
    </xdr:to>
    <xdr:sp>
      <xdr:nvSpPr>
        <xdr:cNvPr id="62" name="Line 158"/>
        <xdr:cNvSpPr>
          <a:spLocks/>
        </xdr:cNvSpPr>
      </xdr:nvSpPr>
      <xdr:spPr>
        <a:xfrm>
          <a:off x="1495425" y="30756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214</xdr:row>
      <xdr:rowOff>19050</xdr:rowOff>
    </xdr:from>
    <xdr:to>
      <xdr:col>10</xdr:col>
      <xdr:colOff>266700</xdr:colOff>
      <xdr:row>215</xdr:row>
      <xdr:rowOff>0</xdr:rowOff>
    </xdr:to>
    <xdr:sp>
      <xdr:nvSpPr>
        <xdr:cNvPr id="63" name="Line 159"/>
        <xdr:cNvSpPr>
          <a:spLocks/>
        </xdr:cNvSpPr>
      </xdr:nvSpPr>
      <xdr:spPr>
        <a:xfrm flipV="1">
          <a:off x="5981700" y="33213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220</xdr:row>
      <xdr:rowOff>19050</xdr:rowOff>
    </xdr:from>
    <xdr:to>
      <xdr:col>10</xdr:col>
      <xdr:colOff>266700</xdr:colOff>
      <xdr:row>221</xdr:row>
      <xdr:rowOff>0</xdr:rowOff>
    </xdr:to>
    <xdr:sp>
      <xdr:nvSpPr>
        <xdr:cNvPr id="64" name="Line 160"/>
        <xdr:cNvSpPr>
          <a:spLocks/>
        </xdr:cNvSpPr>
      </xdr:nvSpPr>
      <xdr:spPr>
        <a:xfrm flipV="1">
          <a:off x="5981700" y="34299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224</xdr:row>
      <xdr:rowOff>19050</xdr:rowOff>
    </xdr:from>
    <xdr:to>
      <xdr:col>3</xdr:col>
      <xdr:colOff>247650</xdr:colOff>
      <xdr:row>225</xdr:row>
      <xdr:rowOff>38100</xdr:rowOff>
    </xdr:to>
    <xdr:sp>
      <xdr:nvSpPr>
        <xdr:cNvPr id="65" name="Line 161"/>
        <xdr:cNvSpPr>
          <a:spLocks/>
        </xdr:cNvSpPr>
      </xdr:nvSpPr>
      <xdr:spPr>
        <a:xfrm>
          <a:off x="2038350" y="34871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271</xdr:row>
      <xdr:rowOff>28575</xdr:rowOff>
    </xdr:from>
    <xdr:to>
      <xdr:col>9</xdr:col>
      <xdr:colOff>266700</xdr:colOff>
      <xdr:row>272</xdr:row>
      <xdr:rowOff>66675</xdr:rowOff>
    </xdr:to>
    <xdr:sp>
      <xdr:nvSpPr>
        <xdr:cNvPr id="66" name="Line 162"/>
        <xdr:cNvSpPr>
          <a:spLocks/>
        </xdr:cNvSpPr>
      </xdr:nvSpPr>
      <xdr:spPr>
        <a:xfrm>
          <a:off x="5372100" y="42567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284</xdr:row>
      <xdr:rowOff>85725</xdr:rowOff>
    </xdr:from>
    <xdr:to>
      <xdr:col>11</xdr:col>
      <xdr:colOff>247650</xdr:colOff>
      <xdr:row>284</xdr:row>
      <xdr:rowOff>85725</xdr:rowOff>
    </xdr:to>
    <xdr:sp>
      <xdr:nvSpPr>
        <xdr:cNvPr id="67" name="Line 163"/>
        <xdr:cNvSpPr>
          <a:spLocks/>
        </xdr:cNvSpPr>
      </xdr:nvSpPr>
      <xdr:spPr>
        <a:xfrm>
          <a:off x="5867400" y="44481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303</xdr:row>
      <xdr:rowOff>95250</xdr:rowOff>
    </xdr:from>
    <xdr:to>
      <xdr:col>2</xdr:col>
      <xdr:colOff>457200</xdr:colOff>
      <xdr:row>303</xdr:row>
      <xdr:rowOff>95250</xdr:rowOff>
    </xdr:to>
    <xdr:sp>
      <xdr:nvSpPr>
        <xdr:cNvPr id="68" name="Line 164"/>
        <xdr:cNvSpPr>
          <a:spLocks/>
        </xdr:cNvSpPr>
      </xdr:nvSpPr>
      <xdr:spPr>
        <a:xfrm>
          <a:off x="1495425" y="47424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303</xdr:row>
      <xdr:rowOff>19050</xdr:rowOff>
    </xdr:from>
    <xdr:to>
      <xdr:col>8</xdr:col>
      <xdr:colOff>266700</xdr:colOff>
      <xdr:row>304</xdr:row>
      <xdr:rowOff>0</xdr:rowOff>
    </xdr:to>
    <xdr:sp>
      <xdr:nvSpPr>
        <xdr:cNvPr id="69" name="Line 165"/>
        <xdr:cNvSpPr>
          <a:spLocks/>
        </xdr:cNvSpPr>
      </xdr:nvSpPr>
      <xdr:spPr>
        <a:xfrm>
          <a:off x="4838700" y="47348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319</xdr:row>
      <xdr:rowOff>76200</xdr:rowOff>
    </xdr:from>
    <xdr:to>
      <xdr:col>9</xdr:col>
      <xdr:colOff>266700</xdr:colOff>
      <xdr:row>320</xdr:row>
      <xdr:rowOff>161925</xdr:rowOff>
    </xdr:to>
    <xdr:sp>
      <xdr:nvSpPr>
        <xdr:cNvPr id="70" name="Line 166"/>
        <xdr:cNvSpPr>
          <a:spLocks/>
        </xdr:cNvSpPr>
      </xdr:nvSpPr>
      <xdr:spPr>
        <a:xfrm>
          <a:off x="5372100" y="49987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334</xdr:row>
      <xdr:rowOff>104775</xdr:rowOff>
    </xdr:from>
    <xdr:to>
      <xdr:col>11</xdr:col>
      <xdr:colOff>114300</xdr:colOff>
      <xdr:row>334</xdr:row>
      <xdr:rowOff>104775</xdr:rowOff>
    </xdr:to>
    <xdr:sp>
      <xdr:nvSpPr>
        <xdr:cNvPr id="71" name="Line 167"/>
        <xdr:cNvSpPr>
          <a:spLocks/>
        </xdr:cNvSpPr>
      </xdr:nvSpPr>
      <xdr:spPr>
        <a:xfrm flipH="1">
          <a:off x="5981700" y="5214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352</xdr:row>
      <xdr:rowOff>95250</xdr:rowOff>
    </xdr:from>
    <xdr:to>
      <xdr:col>2</xdr:col>
      <xdr:colOff>457200</xdr:colOff>
      <xdr:row>352</xdr:row>
      <xdr:rowOff>95250</xdr:rowOff>
    </xdr:to>
    <xdr:sp>
      <xdr:nvSpPr>
        <xdr:cNvPr id="72" name="Line 168"/>
        <xdr:cNvSpPr>
          <a:spLocks/>
        </xdr:cNvSpPr>
      </xdr:nvSpPr>
      <xdr:spPr>
        <a:xfrm>
          <a:off x="1495425" y="54892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352</xdr:row>
      <xdr:rowOff>19050</xdr:rowOff>
    </xdr:from>
    <xdr:to>
      <xdr:col>8</xdr:col>
      <xdr:colOff>266700</xdr:colOff>
      <xdr:row>353</xdr:row>
      <xdr:rowOff>0</xdr:rowOff>
    </xdr:to>
    <xdr:sp>
      <xdr:nvSpPr>
        <xdr:cNvPr id="73" name="Line 169"/>
        <xdr:cNvSpPr>
          <a:spLocks/>
        </xdr:cNvSpPr>
      </xdr:nvSpPr>
      <xdr:spPr>
        <a:xfrm>
          <a:off x="4838700" y="54816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379</xdr:row>
      <xdr:rowOff>123825</xdr:rowOff>
    </xdr:from>
    <xdr:to>
      <xdr:col>2</xdr:col>
      <xdr:colOff>457200</xdr:colOff>
      <xdr:row>379</xdr:row>
      <xdr:rowOff>123825</xdr:rowOff>
    </xdr:to>
    <xdr:sp>
      <xdr:nvSpPr>
        <xdr:cNvPr id="74" name="Line 170"/>
        <xdr:cNvSpPr>
          <a:spLocks/>
        </xdr:cNvSpPr>
      </xdr:nvSpPr>
      <xdr:spPr>
        <a:xfrm>
          <a:off x="1495425" y="58959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398</xdr:row>
      <xdr:rowOff>19050</xdr:rowOff>
    </xdr:from>
    <xdr:to>
      <xdr:col>10</xdr:col>
      <xdr:colOff>266700</xdr:colOff>
      <xdr:row>399</xdr:row>
      <xdr:rowOff>0</xdr:rowOff>
    </xdr:to>
    <xdr:sp>
      <xdr:nvSpPr>
        <xdr:cNvPr id="75" name="Line 171"/>
        <xdr:cNvSpPr>
          <a:spLocks/>
        </xdr:cNvSpPr>
      </xdr:nvSpPr>
      <xdr:spPr>
        <a:xfrm flipV="1">
          <a:off x="5981700" y="62283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404</xdr:row>
      <xdr:rowOff>19050</xdr:rowOff>
    </xdr:from>
    <xdr:to>
      <xdr:col>10</xdr:col>
      <xdr:colOff>266700</xdr:colOff>
      <xdr:row>405</xdr:row>
      <xdr:rowOff>0</xdr:rowOff>
    </xdr:to>
    <xdr:sp>
      <xdr:nvSpPr>
        <xdr:cNvPr id="76" name="Line 172"/>
        <xdr:cNvSpPr>
          <a:spLocks/>
        </xdr:cNvSpPr>
      </xdr:nvSpPr>
      <xdr:spPr>
        <a:xfrm flipV="1">
          <a:off x="5981700" y="63360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408</xdr:row>
      <xdr:rowOff>19050</xdr:rowOff>
    </xdr:from>
    <xdr:to>
      <xdr:col>3</xdr:col>
      <xdr:colOff>247650</xdr:colOff>
      <xdr:row>409</xdr:row>
      <xdr:rowOff>38100</xdr:rowOff>
    </xdr:to>
    <xdr:sp>
      <xdr:nvSpPr>
        <xdr:cNvPr id="77" name="Line 173"/>
        <xdr:cNvSpPr>
          <a:spLocks/>
        </xdr:cNvSpPr>
      </xdr:nvSpPr>
      <xdr:spPr>
        <a:xfrm>
          <a:off x="2038350" y="63912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434</xdr:row>
      <xdr:rowOff>123825</xdr:rowOff>
    </xdr:from>
    <xdr:to>
      <xdr:col>2</xdr:col>
      <xdr:colOff>457200</xdr:colOff>
      <xdr:row>434</xdr:row>
      <xdr:rowOff>123825</xdr:rowOff>
    </xdr:to>
    <xdr:sp>
      <xdr:nvSpPr>
        <xdr:cNvPr id="78" name="Line 178"/>
        <xdr:cNvSpPr>
          <a:spLocks/>
        </xdr:cNvSpPr>
      </xdr:nvSpPr>
      <xdr:spPr>
        <a:xfrm>
          <a:off x="1495425" y="68103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449</xdr:row>
      <xdr:rowOff>19050</xdr:rowOff>
    </xdr:from>
    <xdr:to>
      <xdr:col>10</xdr:col>
      <xdr:colOff>266700</xdr:colOff>
      <xdr:row>450</xdr:row>
      <xdr:rowOff>0</xdr:rowOff>
    </xdr:to>
    <xdr:sp>
      <xdr:nvSpPr>
        <xdr:cNvPr id="79" name="Line 179"/>
        <xdr:cNvSpPr>
          <a:spLocks/>
        </xdr:cNvSpPr>
      </xdr:nvSpPr>
      <xdr:spPr>
        <a:xfrm flipV="1">
          <a:off x="5981700" y="70751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455</xdr:row>
      <xdr:rowOff>19050</xdr:rowOff>
    </xdr:from>
    <xdr:to>
      <xdr:col>10</xdr:col>
      <xdr:colOff>266700</xdr:colOff>
      <xdr:row>456</xdr:row>
      <xdr:rowOff>0</xdr:rowOff>
    </xdr:to>
    <xdr:sp>
      <xdr:nvSpPr>
        <xdr:cNvPr id="80" name="Line 180"/>
        <xdr:cNvSpPr>
          <a:spLocks/>
        </xdr:cNvSpPr>
      </xdr:nvSpPr>
      <xdr:spPr>
        <a:xfrm flipV="1">
          <a:off x="5981700" y="71828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459</xdr:row>
      <xdr:rowOff>19050</xdr:rowOff>
    </xdr:from>
    <xdr:to>
      <xdr:col>3</xdr:col>
      <xdr:colOff>247650</xdr:colOff>
      <xdr:row>460</xdr:row>
      <xdr:rowOff>38100</xdr:rowOff>
    </xdr:to>
    <xdr:sp>
      <xdr:nvSpPr>
        <xdr:cNvPr id="81" name="Line 181"/>
        <xdr:cNvSpPr>
          <a:spLocks/>
        </xdr:cNvSpPr>
      </xdr:nvSpPr>
      <xdr:spPr>
        <a:xfrm>
          <a:off x="2038350" y="72380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144</xdr:row>
      <xdr:rowOff>19050</xdr:rowOff>
    </xdr:from>
    <xdr:to>
      <xdr:col>3</xdr:col>
      <xdr:colOff>314325</xdr:colOff>
      <xdr:row>145</xdr:row>
      <xdr:rowOff>0</xdr:rowOff>
    </xdr:to>
    <xdr:sp>
      <xdr:nvSpPr>
        <xdr:cNvPr id="1" name="Line 9"/>
        <xdr:cNvSpPr>
          <a:spLocks/>
        </xdr:cNvSpPr>
      </xdr:nvSpPr>
      <xdr:spPr>
        <a:xfrm>
          <a:off x="2276475" y="21640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136</xdr:row>
      <xdr:rowOff>114300</xdr:rowOff>
    </xdr:from>
    <xdr:to>
      <xdr:col>3</xdr:col>
      <xdr:colOff>419100</xdr:colOff>
      <xdr:row>136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2181225" y="2063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136</xdr:row>
      <xdr:rowOff>19050</xdr:rowOff>
    </xdr:from>
    <xdr:to>
      <xdr:col>8</xdr:col>
      <xdr:colOff>257175</xdr:colOff>
      <xdr:row>137</xdr:row>
      <xdr:rowOff>9525</xdr:rowOff>
    </xdr:to>
    <xdr:sp>
      <xdr:nvSpPr>
        <xdr:cNvPr id="3" name="Line 14"/>
        <xdr:cNvSpPr>
          <a:spLocks/>
        </xdr:cNvSpPr>
      </xdr:nvSpPr>
      <xdr:spPr>
        <a:xfrm>
          <a:off x="5276850" y="20535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233</xdr:row>
      <xdr:rowOff>85725</xdr:rowOff>
    </xdr:from>
    <xdr:to>
      <xdr:col>3</xdr:col>
      <xdr:colOff>533400</xdr:colOff>
      <xdr:row>233</xdr:row>
      <xdr:rowOff>85725</xdr:rowOff>
    </xdr:to>
    <xdr:sp>
      <xdr:nvSpPr>
        <xdr:cNvPr id="4" name="Line 21"/>
        <xdr:cNvSpPr>
          <a:spLocks/>
        </xdr:cNvSpPr>
      </xdr:nvSpPr>
      <xdr:spPr>
        <a:xfrm flipH="1">
          <a:off x="2276475" y="3542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256</xdr:row>
      <xdr:rowOff>76200</xdr:rowOff>
    </xdr:from>
    <xdr:to>
      <xdr:col>4</xdr:col>
      <xdr:colOff>171450</xdr:colOff>
      <xdr:row>258</xdr:row>
      <xdr:rowOff>19050</xdr:rowOff>
    </xdr:to>
    <xdr:sp>
      <xdr:nvSpPr>
        <xdr:cNvPr id="5" name="Line 22"/>
        <xdr:cNvSpPr>
          <a:spLocks/>
        </xdr:cNvSpPr>
      </xdr:nvSpPr>
      <xdr:spPr>
        <a:xfrm flipH="1" flipV="1">
          <a:off x="2400300" y="38776275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259</xdr:row>
      <xdr:rowOff>9525</xdr:rowOff>
    </xdr:from>
    <xdr:to>
      <xdr:col>7</xdr:col>
      <xdr:colOff>238125</xdr:colOff>
      <xdr:row>260</xdr:row>
      <xdr:rowOff>0</xdr:rowOff>
    </xdr:to>
    <xdr:sp>
      <xdr:nvSpPr>
        <xdr:cNvPr id="6" name="Line 23"/>
        <xdr:cNvSpPr>
          <a:spLocks/>
        </xdr:cNvSpPr>
      </xdr:nvSpPr>
      <xdr:spPr>
        <a:xfrm>
          <a:off x="4676775" y="39062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257</xdr:row>
      <xdr:rowOff>190500</xdr:rowOff>
    </xdr:from>
    <xdr:to>
      <xdr:col>4</xdr:col>
      <xdr:colOff>228600</xdr:colOff>
      <xdr:row>257</xdr:row>
      <xdr:rowOff>190500</xdr:rowOff>
    </xdr:to>
    <xdr:sp>
      <xdr:nvSpPr>
        <xdr:cNvPr id="7" name="Line 24"/>
        <xdr:cNvSpPr>
          <a:spLocks/>
        </xdr:cNvSpPr>
      </xdr:nvSpPr>
      <xdr:spPr>
        <a:xfrm>
          <a:off x="2466975" y="38966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257</xdr:row>
      <xdr:rowOff>9525</xdr:rowOff>
    </xdr:from>
    <xdr:to>
      <xdr:col>4</xdr:col>
      <xdr:colOff>47625</xdr:colOff>
      <xdr:row>258</xdr:row>
      <xdr:rowOff>76200</xdr:rowOff>
    </xdr:to>
    <xdr:sp>
      <xdr:nvSpPr>
        <xdr:cNvPr id="8" name="TextBox 26"/>
        <xdr:cNvSpPr txBox="1">
          <a:spLocks noChangeArrowheads="1"/>
        </xdr:cNvSpPr>
      </xdr:nvSpPr>
      <xdr:spPr>
        <a:xfrm flipH="1">
          <a:off x="2286000" y="38785800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267</xdr:row>
      <xdr:rowOff>9525</xdr:rowOff>
    </xdr:from>
    <xdr:to>
      <xdr:col>5</xdr:col>
      <xdr:colOff>238125</xdr:colOff>
      <xdr:row>268</xdr:row>
      <xdr:rowOff>0</xdr:rowOff>
    </xdr:to>
    <xdr:sp>
      <xdr:nvSpPr>
        <xdr:cNvPr id="9" name="Line 27"/>
        <xdr:cNvSpPr>
          <a:spLocks/>
        </xdr:cNvSpPr>
      </xdr:nvSpPr>
      <xdr:spPr>
        <a:xfrm>
          <a:off x="3514725" y="40166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271</xdr:row>
      <xdr:rowOff>76200</xdr:rowOff>
    </xdr:from>
    <xdr:to>
      <xdr:col>5</xdr:col>
      <xdr:colOff>38100</xdr:colOff>
      <xdr:row>272</xdr:row>
      <xdr:rowOff>76200</xdr:rowOff>
    </xdr:to>
    <xdr:sp>
      <xdr:nvSpPr>
        <xdr:cNvPr id="10" name="Arc 28"/>
        <xdr:cNvSpPr>
          <a:spLocks/>
        </xdr:cNvSpPr>
      </xdr:nvSpPr>
      <xdr:spPr>
        <a:xfrm rot="5400000" flipH="1" flipV="1">
          <a:off x="3171825" y="40786050"/>
          <a:ext cx="142875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271</xdr:row>
      <xdr:rowOff>57150</xdr:rowOff>
    </xdr:from>
    <xdr:to>
      <xdr:col>5</xdr:col>
      <xdr:colOff>114300</xdr:colOff>
      <xdr:row>272</xdr:row>
      <xdr:rowOff>38100</xdr:rowOff>
    </xdr:to>
    <xdr:sp>
      <xdr:nvSpPr>
        <xdr:cNvPr id="11" name="Line 29"/>
        <xdr:cNvSpPr>
          <a:spLocks/>
        </xdr:cNvSpPr>
      </xdr:nvSpPr>
      <xdr:spPr>
        <a:xfrm flipH="1" flipV="1">
          <a:off x="3067050" y="407670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272</xdr:row>
      <xdr:rowOff>28575</xdr:rowOff>
    </xdr:from>
    <xdr:to>
      <xdr:col>5</xdr:col>
      <xdr:colOff>304800</xdr:colOff>
      <xdr:row>272</xdr:row>
      <xdr:rowOff>28575</xdr:rowOff>
    </xdr:to>
    <xdr:sp>
      <xdr:nvSpPr>
        <xdr:cNvPr id="12" name="Line 30"/>
        <xdr:cNvSpPr>
          <a:spLocks/>
        </xdr:cNvSpPr>
      </xdr:nvSpPr>
      <xdr:spPr>
        <a:xfrm>
          <a:off x="3057525" y="409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287</xdr:row>
      <xdr:rowOff>38100</xdr:rowOff>
    </xdr:from>
    <xdr:to>
      <xdr:col>9</xdr:col>
      <xdr:colOff>400050</xdr:colOff>
      <xdr:row>289</xdr:row>
      <xdr:rowOff>19050</xdr:rowOff>
    </xdr:to>
    <xdr:sp>
      <xdr:nvSpPr>
        <xdr:cNvPr id="13" name="Line 31"/>
        <xdr:cNvSpPr>
          <a:spLocks/>
        </xdr:cNvSpPr>
      </xdr:nvSpPr>
      <xdr:spPr>
        <a:xfrm flipH="1" flipV="1">
          <a:off x="5591175" y="43081575"/>
          <a:ext cx="4095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289</xdr:row>
      <xdr:rowOff>0</xdr:rowOff>
    </xdr:from>
    <xdr:to>
      <xdr:col>9</xdr:col>
      <xdr:colOff>400050</xdr:colOff>
      <xdr:row>289</xdr:row>
      <xdr:rowOff>0</xdr:rowOff>
    </xdr:to>
    <xdr:sp>
      <xdr:nvSpPr>
        <xdr:cNvPr id="14" name="Line 32"/>
        <xdr:cNvSpPr>
          <a:spLocks/>
        </xdr:cNvSpPr>
      </xdr:nvSpPr>
      <xdr:spPr>
        <a:xfrm>
          <a:off x="5543550" y="43319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288</xdr:row>
      <xdr:rowOff>28575</xdr:rowOff>
    </xdr:from>
    <xdr:to>
      <xdr:col>9</xdr:col>
      <xdr:colOff>209550</xdr:colOff>
      <xdr:row>290</xdr:row>
      <xdr:rowOff>9525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5562600" y="43148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6</xdr:col>
      <xdr:colOff>266700</xdr:colOff>
      <xdr:row>290</xdr:row>
      <xdr:rowOff>9525</xdr:rowOff>
    </xdr:from>
    <xdr:to>
      <xdr:col>6</xdr:col>
      <xdr:colOff>266700</xdr:colOff>
      <xdr:row>291</xdr:row>
      <xdr:rowOff>0</xdr:rowOff>
    </xdr:to>
    <xdr:sp>
      <xdr:nvSpPr>
        <xdr:cNvPr id="16" name="Line 35"/>
        <xdr:cNvSpPr>
          <a:spLocks/>
        </xdr:cNvSpPr>
      </xdr:nvSpPr>
      <xdr:spPr>
        <a:xfrm>
          <a:off x="4124325" y="43405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262</xdr:row>
      <xdr:rowOff>76200</xdr:rowOff>
    </xdr:from>
    <xdr:to>
      <xdr:col>6</xdr:col>
      <xdr:colOff>295275</xdr:colOff>
      <xdr:row>264</xdr:row>
      <xdr:rowOff>66675</xdr:rowOff>
    </xdr:to>
    <xdr:sp>
      <xdr:nvSpPr>
        <xdr:cNvPr id="17" name="Line 36"/>
        <xdr:cNvSpPr>
          <a:spLocks/>
        </xdr:cNvSpPr>
      </xdr:nvSpPr>
      <xdr:spPr>
        <a:xfrm flipH="1" flipV="1">
          <a:off x="3657600" y="396049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263</xdr:row>
      <xdr:rowOff>0</xdr:rowOff>
    </xdr:from>
    <xdr:to>
      <xdr:col>6</xdr:col>
      <xdr:colOff>28575</xdr:colOff>
      <xdr:row>264</xdr:row>
      <xdr:rowOff>38100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3524250" y="396049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428625</xdr:colOff>
      <xdr:row>262</xdr:row>
      <xdr:rowOff>76200</xdr:rowOff>
    </xdr:from>
    <xdr:to>
      <xdr:col>6</xdr:col>
      <xdr:colOff>57150</xdr:colOff>
      <xdr:row>264</xdr:row>
      <xdr:rowOff>19050</xdr:rowOff>
    </xdr:to>
    <xdr:sp>
      <xdr:nvSpPr>
        <xdr:cNvPr id="19" name="Arc 38"/>
        <xdr:cNvSpPr>
          <a:spLocks/>
        </xdr:cNvSpPr>
      </xdr:nvSpPr>
      <xdr:spPr>
        <a:xfrm rot="5400000" flipH="1" flipV="1">
          <a:off x="3705225" y="39604950"/>
          <a:ext cx="209550" cy="2190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263</xdr:row>
      <xdr:rowOff>171450</xdr:rowOff>
    </xdr:from>
    <xdr:to>
      <xdr:col>6</xdr:col>
      <xdr:colOff>447675</xdr:colOff>
      <xdr:row>263</xdr:row>
      <xdr:rowOff>171450</xdr:rowOff>
    </xdr:to>
    <xdr:sp>
      <xdr:nvSpPr>
        <xdr:cNvPr id="20" name="Line 39"/>
        <xdr:cNvSpPr>
          <a:spLocks/>
        </xdr:cNvSpPr>
      </xdr:nvSpPr>
      <xdr:spPr>
        <a:xfrm>
          <a:off x="3638550" y="39776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294</xdr:row>
      <xdr:rowOff>28575</xdr:rowOff>
    </xdr:from>
    <xdr:to>
      <xdr:col>5</xdr:col>
      <xdr:colOff>323850</xdr:colOff>
      <xdr:row>295</xdr:row>
      <xdr:rowOff>47625</xdr:rowOff>
    </xdr:to>
    <xdr:sp>
      <xdr:nvSpPr>
        <xdr:cNvPr id="21" name="Line 40"/>
        <xdr:cNvSpPr>
          <a:spLocks/>
        </xdr:cNvSpPr>
      </xdr:nvSpPr>
      <xdr:spPr>
        <a:xfrm flipH="1" flipV="1">
          <a:off x="3143250" y="4397692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293</xdr:row>
      <xdr:rowOff>57150</xdr:rowOff>
    </xdr:from>
    <xdr:to>
      <xdr:col>5</xdr:col>
      <xdr:colOff>47625</xdr:colOff>
      <xdr:row>295</xdr:row>
      <xdr:rowOff>19050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2962275" y="439293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4</xdr:col>
      <xdr:colOff>485775</xdr:colOff>
      <xdr:row>294</xdr:row>
      <xdr:rowOff>66675</xdr:rowOff>
    </xdr:from>
    <xdr:to>
      <xdr:col>5</xdr:col>
      <xdr:colOff>47625</xdr:colOff>
      <xdr:row>295</xdr:row>
      <xdr:rowOff>9525</xdr:rowOff>
    </xdr:to>
    <xdr:sp>
      <xdr:nvSpPr>
        <xdr:cNvPr id="23" name="Arc 42"/>
        <xdr:cNvSpPr>
          <a:spLocks/>
        </xdr:cNvSpPr>
      </xdr:nvSpPr>
      <xdr:spPr>
        <a:xfrm rot="5400000" flipH="1" flipV="1">
          <a:off x="3181350" y="44015025"/>
          <a:ext cx="142875" cy="142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294</xdr:row>
      <xdr:rowOff>152400</xdr:rowOff>
    </xdr:from>
    <xdr:to>
      <xdr:col>5</xdr:col>
      <xdr:colOff>438150</xdr:colOff>
      <xdr:row>294</xdr:row>
      <xdr:rowOff>152400</xdr:rowOff>
    </xdr:to>
    <xdr:sp>
      <xdr:nvSpPr>
        <xdr:cNvPr id="24" name="Line 43"/>
        <xdr:cNvSpPr>
          <a:spLocks/>
        </xdr:cNvSpPr>
      </xdr:nvSpPr>
      <xdr:spPr>
        <a:xfrm>
          <a:off x="3048000" y="44100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270</xdr:row>
      <xdr:rowOff>57150</xdr:rowOff>
    </xdr:from>
    <xdr:to>
      <xdr:col>5</xdr:col>
      <xdr:colOff>428625</xdr:colOff>
      <xdr:row>271</xdr:row>
      <xdr:rowOff>180975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3324225" y="40690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5</xdr:col>
      <xdr:colOff>238125</xdr:colOff>
      <xdr:row>276</xdr:row>
      <xdr:rowOff>9525</xdr:rowOff>
    </xdr:from>
    <xdr:to>
      <xdr:col>5</xdr:col>
      <xdr:colOff>238125</xdr:colOff>
      <xdr:row>277</xdr:row>
      <xdr:rowOff>0</xdr:rowOff>
    </xdr:to>
    <xdr:sp>
      <xdr:nvSpPr>
        <xdr:cNvPr id="26" name="Line 45"/>
        <xdr:cNvSpPr>
          <a:spLocks/>
        </xdr:cNvSpPr>
      </xdr:nvSpPr>
      <xdr:spPr>
        <a:xfrm>
          <a:off x="3514725" y="41471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278</xdr:row>
      <xdr:rowOff>76200</xdr:rowOff>
    </xdr:from>
    <xdr:to>
      <xdr:col>5</xdr:col>
      <xdr:colOff>38100</xdr:colOff>
      <xdr:row>279</xdr:row>
      <xdr:rowOff>76200</xdr:rowOff>
    </xdr:to>
    <xdr:sp>
      <xdr:nvSpPr>
        <xdr:cNvPr id="27" name="Arc 46"/>
        <xdr:cNvSpPr>
          <a:spLocks/>
        </xdr:cNvSpPr>
      </xdr:nvSpPr>
      <xdr:spPr>
        <a:xfrm rot="5400000" flipH="1" flipV="1">
          <a:off x="3171825" y="41814750"/>
          <a:ext cx="142875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278</xdr:row>
      <xdr:rowOff>57150</xdr:rowOff>
    </xdr:from>
    <xdr:to>
      <xdr:col>5</xdr:col>
      <xdr:colOff>114300</xdr:colOff>
      <xdr:row>279</xdr:row>
      <xdr:rowOff>38100</xdr:rowOff>
    </xdr:to>
    <xdr:sp>
      <xdr:nvSpPr>
        <xdr:cNvPr id="28" name="Line 47"/>
        <xdr:cNvSpPr>
          <a:spLocks/>
        </xdr:cNvSpPr>
      </xdr:nvSpPr>
      <xdr:spPr>
        <a:xfrm flipH="1" flipV="1">
          <a:off x="3067050" y="417957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279</xdr:row>
      <xdr:rowOff>0</xdr:rowOff>
    </xdr:from>
    <xdr:to>
      <xdr:col>5</xdr:col>
      <xdr:colOff>228600</xdr:colOff>
      <xdr:row>279</xdr:row>
      <xdr:rowOff>0</xdr:rowOff>
    </xdr:to>
    <xdr:sp>
      <xdr:nvSpPr>
        <xdr:cNvPr id="29" name="Line 48"/>
        <xdr:cNvSpPr>
          <a:spLocks/>
        </xdr:cNvSpPr>
      </xdr:nvSpPr>
      <xdr:spPr>
        <a:xfrm>
          <a:off x="2981325" y="41938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278</xdr:row>
      <xdr:rowOff>0</xdr:rowOff>
    </xdr:from>
    <xdr:to>
      <xdr:col>5</xdr:col>
      <xdr:colOff>428625</xdr:colOff>
      <xdr:row>279</xdr:row>
      <xdr:rowOff>28575</xdr:rowOff>
    </xdr:to>
    <xdr:sp>
      <xdr:nvSpPr>
        <xdr:cNvPr id="30" name="TextBox 49"/>
        <xdr:cNvSpPr txBox="1">
          <a:spLocks noChangeArrowheads="1"/>
        </xdr:cNvSpPr>
      </xdr:nvSpPr>
      <xdr:spPr>
        <a:xfrm>
          <a:off x="3324225" y="417385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4</xdr:col>
      <xdr:colOff>0</xdr:colOff>
      <xdr:row>257</xdr:row>
      <xdr:rowOff>76200</xdr:rowOff>
    </xdr:from>
    <xdr:to>
      <xdr:col>4</xdr:col>
      <xdr:colOff>76200</xdr:colOff>
      <xdr:row>258</xdr:row>
      <xdr:rowOff>38100</xdr:rowOff>
    </xdr:to>
    <xdr:sp>
      <xdr:nvSpPr>
        <xdr:cNvPr id="31" name="Arc 50"/>
        <xdr:cNvSpPr>
          <a:spLocks/>
        </xdr:cNvSpPr>
      </xdr:nvSpPr>
      <xdr:spPr>
        <a:xfrm flipH="1">
          <a:off x="2695575" y="38852475"/>
          <a:ext cx="7620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288</xdr:row>
      <xdr:rowOff>66675</xdr:rowOff>
    </xdr:from>
    <xdr:to>
      <xdr:col>9</xdr:col>
      <xdr:colOff>247650</xdr:colOff>
      <xdr:row>289</xdr:row>
      <xdr:rowOff>19050</xdr:rowOff>
    </xdr:to>
    <xdr:sp>
      <xdr:nvSpPr>
        <xdr:cNvPr id="32" name="Arc 53"/>
        <xdr:cNvSpPr>
          <a:spLocks/>
        </xdr:cNvSpPr>
      </xdr:nvSpPr>
      <xdr:spPr>
        <a:xfrm flipH="1">
          <a:off x="5753100" y="43186350"/>
          <a:ext cx="95250" cy="1524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373</xdr:row>
      <xdr:rowOff>0</xdr:rowOff>
    </xdr:from>
    <xdr:to>
      <xdr:col>8</xdr:col>
      <xdr:colOff>247650</xdr:colOff>
      <xdr:row>373</xdr:row>
      <xdr:rowOff>190500</xdr:rowOff>
    </xdr:to>
    <xdr:sp>
      <xdr:nvSpPr>
        <xdr:cNvPr id="33" name="Line 54"/>
        <xdr:cNvSpPr>
          <a:spLocks/>
        </xdr:cNvSpPr>
      </xdr:nvSpPr>
      <xdr:spPr>
        <a:xfrm>
          <a:off x="5267325" y="56902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349</xdr:row>
      <xdr:rowOff>0</xdr:rowOff>
    </xdr:from>
    <xdr:to>
      <xdr:col>9</xdr:col>
      <xdr:colOff>247650</xdr:colOff>
      <xdr:row>350</xdr:row>
      <xdr:rowOff>0</xdr:rowOff>
    </xdr:to>
    <xdr:sp>
      <xdr:nvSpPr>
        <xdr:cNvPr id="34" name="Line 56"/>
        <xdr:cNvSpPr>
          <a:spLocks/>
        </xdr:cNvSpPr>
      </xdr:nvSpPr>
      <xdr:spPr>
        <a:xfrm>
          <a:off x="5848350" y="53216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353</xdr:row>
      <xdr:rowOff>28575</xdr:rowOff>
    </xdr:from>
    <xdr:to>
      <xdr:col>4</xdr:col>
      <xdr:colOff>285750</xdr:colOff>
      <xdr:row>354</xdr:row>
      <xdr:rowOff>28575</xdr:rowOff>
    </xdr:to>
    <xdr:sp>
      <xdr:nvSpPr>
        <xdr:cNvPr id="35" name="Line 57"/>
        <xdr:cNvSpPr>
          <a:spLocks/>
        </xdr:cNvSpPr>
      </xdr:nvSpPr>
      <xdr:spPr>
        <a:xfrm>
          <a:off x="2981325" y="5379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381</xdr:row>
      <xdr:rowOff>9525</xdr:rowOff>
    </xdr:from>
    <xdr:to>
      <xdr:col>4</xdr:col>
      <xdr:colOff>295275</xdr:colOff>
      <xdr:row>382</xdr:row>
      <xdr:rowOff>38100</xdr:rowOff>
    </xdr:to>
    <xdr:sp>
      <xdr:nvSpPr>
        <xdr:cNvPr id="36" name="Line 58"/>
        <xdr:cNvSpPr>
          <a:spLocks/>
        </xdr:cNvSpPr>
      </xdr:nvSpPr>
      <xdr:spPr>
        <a:xfrm>
          <a:off x="2990850" y="58140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441</xdr:row>
      <xdr:rowOff>0</xdr:rowOff>
    </xdr:from>
    <xdr:to>
      <xdr:col>5</xdr:col>
      <xdr:colOff>247650</xdr:colOff>
      <xdr:row>442</xdr:row>
      <xdr:rowOff>0</xdr:rowOff>
    </xdr:to>
    <xdr:sp>
      <xdr:nvSpPr>
        <xdr:cNvPr id="37" name="Line 59"/>
        <xdr:cNvSpPr>
          <a:spLocks/>
        </xdr:cNvSpPr>
      </xdr:nvSpPr>
      <xdr:spPr>
        <a:xfrm>
          <a:off x="3524250" y="671131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441</xdr:row>
      <xdr:rowOff>9525</xdr:rowOff>
    </xdr:from>
    <xdr:to>
      <xdr:col>9</xdr:col>
      <xdr:colOff>247650</xdr:colOff>
      <xdr:row>442</xdr:row>
      <xdr:rowOff>0</xdr:rowOff>
    </xdr:to>
    <xdr:sp>
      <xdr:nvSpPr>
        <xdr:cNvPr id="38" name="Line 60"/>
        <xdr:cNvSpPr>
          <a:spLocks/>
        </xdr:cNvSpPr>
      </xdr:nvSpPr>
      <xdr:spPr>
        <a:xfrm>
          <a:off x="5838825" y="671226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467</xdr:row>
      <xdr:rowOff>0</xdr:rowOff>
    </xdr:from>
    <xdr:to>
      <xdr:col>3</xdr:col>
      <xdr:colOff>247650</xdr:colOff>
      <xdr:row>468</xdr:row>
      <xdr:rowOff>28575</xdr:rowOff>
    </xdr:to>
    <xdr:sp>
      <xdr:nvSpPr>
        <xdr:cNvPr id="39" name="Line 61"/>
        <xdr:cNvSpPr>
          <a:spLocks/>
        </xdr:cNvSpPr>
      </xdr:nvSpPr>
      <xdr:spPr>
        <a:xfrm>
          <a:off x="2209800" y="70704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466</xdr:row>
      <xdr:rowOff>57150</xdr:rowOff>
    </xdr:from>
    <xdr:to>
      <xdr:col>7</xdr:col>
      <xdr:colOff>257175</xdr:colOff>
      <xdr:row>467</xdr:row>
      <xdr:rowOff>152400</xdr:rowOff>
    </xdr:to>
    <xdr:sp>
      <xdr:nvSpPr>
        <xdr:cNvPr id="40" name="Line 62"/>
        <xdr:cNvSpPr>
          <a:spLocks/>
        </xdr:cNvSpPr>
      </xdr:nvSpPr>
      <xdr:spPr>
        <a:xfrm>
          <a:off x="4686300" y="706850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471</xdr:row>
      <xdr:rowOff>9525</xdr:rowOff>
    </xdr:from>
    <xdr:to>
      <xdr:col>5</xdr:col>
      <xdr:colOff>238125</xdr:colOff>
      <xdr:row>472</xdr:row>
      <xdr:rowOff>0</xdr:rowOff>
    </xdr:to>
    <xdr:sp>
      <xdr:nvSpPr>
        <xdr:cNvPr id="41" name="Line 63"/>
        <xdr:cNvSpPr>
          <a:spLocks/>
        </xdr:cNvSpPr>
      </xdr:nvSpPr>
      <xdr:spPr>
        <a:xfrm>
          <a:off x="3514725" y="71266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473</xdr:row>
      <xdr:rowOff>9525</xdr:rowOff>
    </xdr:from>
    <xdr:to>
      <xdr:col>3</xdr:col>
      <xdr:colOff>295275</xdr:colOff>
      <xdr:row>474</xdr:row>
      <xdr:rowOff>38100</xdr:rowOff>
    </xdr:to>
    <xdr:sp>
      <xdr:nvSpPr>
        <xdr:cNvPr id="42" name="Line 64"/>
        <xdr:cNvSpPr>
          <a:spLocks/>
        </xdr:cNvSpPr>
      </xdr:nvSpPr>
      <xdr:spPr>
        <a:xfrm>
          <a:off x="2257425" y="71542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503</xdr:row>
      <xdr:rowOff>0</xdr:rowOff>
    </xdr:from>
    <xdr:to>
      <xdr:col>3</xdr:col>
      <xdr:colOff>247650</xdr:colOff>
      <xdr:row>503</xdr:row>
      <xdr:rowOff>180975</xdr:rowOff>
    </xdr:to>
    <xdr:sp>
      <xdr:nvSpPr>
        <xdr:cNvPr id="43" name="Line 65"/>
        <xdr:cNvSpPr>
          <a:spLocks/>
        </xdr:cNvSpPr>
      </xdr:nvSpPr>
      <xdr:spPr>
        <a:xfrm>
          <a:off x="2209800" y="75676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499</xdr:row>
      <xdr:rowOff>9525</xdr:rowOff>
    </xdr:from>
    <xdr:to>
      <xdr:col>5</xdr:col>
      <xdr:colOff>238125</xdr:colOff>
      <xdr:row>500</xdr:row>
      <xdr:rowOff>0</xdr:rowOff>
    </xdr:to>
    <xdr:sp>
      <xdr:nvSpPr>
        <xdr:cNvPr id="44" name="Line 66"/>
        <xdr:cNvSpPr>
          <a:spLocks/>
        </xdr:cNvSpPr>
      </xdr:nvSpPr>
      <xdr:spPr>
        <a:xfrm>
          <a:off x="3514725" y="75133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497</xdr:row>
      <xdr:rowOff>38100</xdr:rowOff>
    </xdr:from>
    <xdr:to>
      <xdr:col>2</xdr:col>
      <xdr:colOff>276225</xdr:colOff>
      <xdr:row>497</xdr:row>
      <xdr:rowOff>190500</xdr:rowOff>
    </xdr:to>
    <xdr:sp>
      <xdr:nvSpPr>
        <xdr:cNvPr id="45" name="Line 67"/>
        <xdr:cNvSpPr>
          <a:spLocks/>
        </xdr:cNvSpPr>
      </xdr:nvSpPr>
      <xdr:spPr>
        <a:xfrm>
          <a:off x="1657350" y="74885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499</xdr:row>
      <xdr:rowOff>9525</xdr:rowOff>
    </xdr:from>
    <xdr:to>
      <xdr:col>5</xdr:col>
      <xdr:colOff>238125</xdr:colOff>
      <xdr:row>500</xdr:row>
      <xdr:rowOff>0</xdr:rowOff>
    </xdr:to>
    <xdr:sp>
      <xdr:nvSpPr>
        <xdr:cNvPr id="46" name="Line 68"/>
        <xdr:cNvSpPr>
          <a:spLocks/>
        </xdr:cNvSpPr>
      </xdr:nvSpPr>
      <xdr:spPr>
        <a:xfrm>
          <a:off x="3514725" y="75133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499</xdr:row>
      <xdr:rowOff>38100</xdr:rowOff>
    </xdr:from>
    <xdr:to>
      <xdr:col>8</xdr:col>
      <xdr:colOff>276225</xdr:colOff>
      <xdr:row>499</xdr:row>
      <xdr:rowOff>190500</xdr:rowOff>
    </xdr:to>
    <xdr:sp>
      <xdr:nvSpPr>
        <xdr:cNvPr id="47" name="Line 69"/>
        <xdr:cNvSpPr>
          <a:spLocks/>
        </xdr:cNvSpPr>
      </xdr:nvSpPr>
      <xdr:spPr>
        <a:xfrm>
          <a:off x="5286375" y="751617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556</xdr:row>
      <xdr:rowOff>95250</xdr:rowOff>
    </xdr:from>
    <xdr:to>
      <xdr:col>3</xdr:col>
      <xdr:colOff>457200</xdr:colOff>
      <xdr:row>556</xdr:row>
      <xdr:rowOff>95250</xdr:rowOff>
    </xdr:to>
    <xdr:sp>
      <xdr:nvSpPr>
        <xdr:cNvPr id="48" name="Line 78"/>
        <xdr:cNvSpPr>
          <a:spLocks/>
        </xdr:cNvSpPr>
      </xdr:nvSpPr>
      <xdr:spPr>
        <a:xfrm>
          <a:off x="2152650" y="83772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556</xdr:row>
      <xdr:rowOff>28575</xdr:rowOff>
    </xdr:from>
    <xdr:to>
      <xdr:col>8</xdr:col>
      <xdr:colOff>361950</xdr:colOff>
      <xdr:row>557</xdr:row>
      <xdr:rowOff>28575</xdr:rowOff>
    </xdr:to>
    <xdr:sp>
      <xdr:nvSpPr>
        <xdr:cNvPr id="49" name="Line 79"/>
        <xdr:cNvSpPr>
          <a:spLocks/>
        </xdr:cNvSpPr>
      </xdr:nvSpPr>
      <xdr:spPr>
        <a:xfrm>
          <a:off x="5381625" y="83705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732</xdr:row>
      <xdr:rowOff>0</xdr:rowOff>
    </xdr:from>
    <xdr:to>
      <xdr:col>10</xdr:col>
      <xdr:colOff>314325</xdr:colOff>
      <xdr:row>732</xdr:row>
      <xdr:rowOff>0</xdr:rowOff>
    </xdr:to>
    <xdr:sp>
      <xdr:nvSpPr>
        <xdr:cNvPr id="50" name="Line 93"/>
        <xdr:cNvSpPr>
          <a:spLocks/>
        </xdr:cNvSpPr>
      </xdr:nvSpPr>
      <xdr:spPr>
        <a:xfrm>
          <a:off x="6496050" y="11108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425</xdr:row>
      <xdr:rowOff>0</xdr:rowOff>
    </xdr:from>
    <xdr:to>
      <xdr:col>6</xdr:col>
      <xdr:colOff>438150</xdr:colOff>
      <xdr:row>425</xdr:row>
      <xdr:rowOff>0</xdr:rowOff>
    </xdr:to>
    <xdr:sp>
      <xdr:nvSpPr>
        <xdr:cNvPr id="51" name="Line 98"/>
        <xdr:cNvSpPr>
          <a:spLocks/>
        </xdr:cNvSpPr>
      </xdr:nvSpPr>
      <xdr:spPr>
        <a:xfrm flipV="1">
          <a:off x="4295775" y="650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413</xdr:row>
      <xdr:rowOff>28575</xdr:rowOff>
    </xdr:from>
    <xdr:to>
      <xdr:col>10</xdr:col>
      <xdr:colOff>228600</xdr:colOff>
      <xdr:row>414</xdr:row>
      <xdr:rowOff>76200</xdr:rowOff>
    </xdr:to>
    <xdr:sp>
      <xdr:nvSpPr>
        <xdr:cNvPr id="52" name="Line 101"/>
        <xdr:cNvSpPr>
          <a:spLocks/>
        </xdr:cNvSpPr>
      </xdr:nvSpPr>
      <xdr:spPr>
        <a:xfrm flipV="1">
          <a:off x="6410325" y="63322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57</xdr:row>
      <xdr:rowOff>76200</xdr:rowOff>
    </xdr:from>
    <xdr:to>
      <xdr:col>8</xdr:col>
      <xdr:colOff>266700</xdr:colOff>
      <xdr:row>59</xdr:row>
      <xdr:rowOff>19050</xdr:rowOff>
    </xdr:to>
    <xdr:sp>
      <xdr:nvSpPr>
        <xdr:cNvPr id="53" name="Line 102"/>
        <xdr:cNvSpPr>
          <a:spLocks/>
        </xdr:cNvSpPr>
      </xdr:nvSpPr>
      <xdr:spPr>
        <a:xfrm>
          <a:off x="5286375" y="8753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69</xdr:row>
      <xdr:rowOff>114300</xdr:rowOff>
    </xdr:from>
    <xdr:to>
      <xdr:col>8</xdr:col>
      <xdr:colOff>438150</xdr:colOff>
      <xdr:row>69</xdr:row>
      <xdr:rowOff>123825</xdr:rowOff>
    </xdr:to>
    <xdr:sp>
      <xdr:nvSpPr>
        <xdr:cNvPr id="54" name="Line 103"/>
        <xdr:cNvSpPr>
          <a:spLocks/>
        </xdr:cNvSpPr>
      </xdr:nvSpPr>
      <xdr:spPr>
        <a:xfrm flipV="1">
          <a:off x="5191125" y="1044892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76</xdr:row>
      <xdr:rowOff>95250</xdr:rowOff>
    </xdr:from>
    <xdr:to>
      <xdr:col>2</xdr:col>
      <xdr:colOff>457200</xdr:colOff>
      <xdr:row>76</xdr:row>
      <xdr:rowOff>95250</xdr:rowOff>
    </xdr:to>
    <xdr:sp>
      <xdr:nvSpPr>
        <xdr:cNvPr id="55" name="Line 104"/>
        <xdr:cNvSpPr>
          <a:spLocks/>
        </xdr:cNvSpPr>
      </xdr:nvSpPr>
      <xdr:spPr>
        <a:xfrm>
          <a:off x="1552575" y="11458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76</xdr:row>
      <xdr:rowOff>47625</xdr:rowOff>
    </xdr:from>
    <xdr:to>
      <xdr:col>7</xdr:col>
      <xdr:colOff>257175</xdr:colOff>
      <xdr:row>77</xdr:row>
      <xdr:rowOff>19050</xdr:rowOff>
    </xdr:to>
    <xdr:sp>
      <xdr:nvSpPr>
        <xdr:cNvPr id="56" name="Line 105"/>
        <xdr:cNvSpPr>
          <a:spLocks/>
        </xdr:cNvSpPr>
      </xdr:nvSpPr>
      <xdr:spPr>
        <a:xfrm>
          <a:off x="4695825" y="1141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97</xdr:row>
      <xdr:rowOff>76200</xdr:rowOff>
    </xdr:from>
    <xdr:to>
      <xdr:col>9</xdr:col>
      <xdr:colOff>266700</xdr:colOff>
      <xdr:row>99</xdr:row>
      <xdr:rowOff>19050</xdr:rowOff>
    </xdr:to>
    <xdr:sp>
      <xdr:nvSpPr>
        <xdr:cNvPr id="57" name="Line 106"/>
        <xdr:cNvSpPr>
          <a:spLocks/>
        </xdr:cNvSpPr>
      </xdr:nvSpPr>
      <xdr:spPr>
        <a:xfrm>
          <a:off x="5867400" y="14773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103</xdr:row>
      <xdr:rowOff>76200</xdr:rowOff>
    </xdr:from>
    <xdr:to>
      <xdr:col>9</xdr:col>
      <xdr:colOff>266700</xdr:colOff>
      <xdr:row>105</xdr:row>
      <xdr:rowOff>19050</xdr:rowOff>
    </xdr:to>
    <xdr:sp>
      <xdr:nvSpPr>
        <xdr:cNvPr id="58" name="Line 107"/>
        <xdr:cNvSpPr>
          <a:spLocks/>
        </xdr:cNvSpPr>
      </xdr:nvSpPr>
      <xdr:spPr>
        <a:xfrm>
          <a:off x="5867400" y="15725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116</xdr:row>
      <xdr:rowOff>114300</xdr:rowOff>
    </xdr:from>
    <xdr:to>
      <xdr:col>9</xdr:col>
      <xdr:colOff>438150</xdr:colOff>
      <xdr:row>116</xdr:row>
      <xdr:rowOff>123825</xdr:rowOff>
    </xdr:to>
    <xdr:sp>
      <xdr:nvSpPr>
        <xdr:cNvPr id="59" name="Line 108"/>
        <xdr:cNvSpPr>
          <a:spLocks/>
        </xdr:cNvSpPr>
      </xdr:nvSpPr>
      <xdr:spPr>
        <a:xfrm flipV="1">
          <a:off x="5772150" y="17621250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128</xdr:row>
      <xdr:rowOff>114300</xdr:rowOff>
    </xdr:from>
    <xdr:to>
      <xdr:col>9</xdr:col>
      <xdr:colOff>438150</xdr:colOff>
      <xdr:row>128</xdr:row>
      <xdr:rowOff>123825</xdr:rowOff>
    </xdr:to>
    <xdr:sp>
      <xdr:nvSpPr>
        <xdr:cNvPr id="60" name="Line 109"/>
        <xdr:cNvSpPr>
          <a:spLocks/>
        </xdr:cNvSpPr>
      </xdr:nvSpPr>
      <xdr:spPr>
        <a:xfrm flipV="1">
          <a:off x="5772150" y="1940242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142</xdr:row>
      <xdr:rowOff>133350</xdr:rowOff>
    </xdr:from>
    <xdr:to>
      <xdr:col>3</xdr:col>
      <xdr:colOff>381000</xdr:colOff>
      <xdr:row>142</xdr:row>
      <xdr:rowOff>133350</xdr:rowOff>
    </xdr:to>
    <xdr:sp>
      <xdr:nvSpPr>
        <xdr:cNvPr id="61" name="Line 112"/>
        <xdr:cNvSpPr>
          <a:spLocks/>
        </xdr:cNvSpPr>
      </xdr:nvSpPr>
      <xdr:spPr>
        <a:xfrm flipH="1">
          <a:off x="2143125" y="21478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185</xdr:row>
      <xdr:rowOff>104775</xdr:rowOff>
    </xdr:from>
    <xdr:to>
      <xdr:col>10</xdr:col>
      <xdr:colOff>533400</xdr:colOff>
      <xdr:row>185</xdr:row>
      <xdr:rowOff>104775</xdr:rowOff>
    </xdr:to>
    <xdr:sp>
      <xdr:nvSpPr>
        <xdr:cNvPr id="62" name="Line 114"/>
        <xdr:cNvSpPr>
          <a:spLocks/>
        </xdr:cNvSpPr>
      </xdr:nvSpPr>
      <xdr:spPr>
        <a:xfrm flipV="1">
          <a:off x="6372225" y="28070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194</xdr:row>
      <xdr:rowOff>104775</xdr:rowOff>
    </xdr:from>
    <xdr:to>
      <xdr:col>2</xdr:col>
      <xdr:colOff>533400</xdr:colOff>
      <xdr:row>194</xdr:row>
      <xdr:rowOff>104775</xdr:rowOff>
    </xdr:to>
    <xdr:sp>
      <xdr:nvSpPr>
        <xdr:cNvPr id="63" name="Line 115"/>
        <xdr:cNvSpPr>
          <a:spLocks/>
        </xdr:cNvSpPr>
      </xdr:nvSpPr>
      <xdr:spPr>
        <a:xfrm flipV="1">
          <a:off x="1571625" y="29498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201</xdr:row>
      <xdr:rowOff>104775</xdr:rowOff>
    </xdr:from>
    <xdr:to>
      <xdr:col>9</xdr:col>
      <xdr:colOff>533400</xdr:colOff>
      <xdr:row>201</xdr:row>
      <xdr:rowOff>104775</xdr:rowOff>
    </xdr:to>
    <xdr:sp>
      <xdr:nvSpPr>
        <xdr:cNvPr id="64" name="Line 116"/>
        <xdr:cNvSpPr>
          <a:spLocks/>
        </xdr:cNvSpPr>
      </xdr:nvSpPr>
      <xdr:spPr>
        <a:xfrm flipV="1">
          <a:off x="5791200" y="3065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208</xdr:row>
      <xdr:rowOff>104775</xdr:rowOff>
    </xdr:from>
    <xdr:to>
      <xdr:col>3</xdr:col>
      <xdr:colOff>533400</xdr:colOff>
      <xdr:row>208</xdr:row>
      <xdr:rowOff>104775</xdr:rowOff>
    </xdr:to>
    <xdr:sp>
      <xdr:nvSpPr>
        <xdr:cNvPr id="65" name="Line 117"/>
        <xdr:cNvSpPr>
          <a:spLocks/>
        </xdr:cNvSpPr>
      </xdr:nvSpPr>
      <xdr:spPr>
        <a:xfrm flipV="1">
          <a:off x="2152650" y="31680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225</xdr:row>
      <xdr:rowOff>104775</xdr:rowOff>
    </xdr:from>
    <xdr:to>
      <xdr:col>10</xdr:col>
      <xdr:colOff>533400</xdr:colOff>
      <xdr:row>225</xdr:row>
      <xdr:rowOff>104775</xdr:rowOff>
    </xdr:to>
    <xdr:sp>
      <xdr:nvSpPr>
        <xdr:cNvPr id="66" name="Line 118"/>
        <xdr:cNvSpPr>
          <a:spLocks/>
        </xdr:cNvSpPr>
      </xdr:nvSpPr>
      <xdr:spPr>
        <a:xfrm flipV="1">
          <a:off x="6372225" y="34213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550</xdr:row>
      <xdr:rowOff>171450</xdr:rowOff>
    </xdr:from>
    <xdr:to>
      <xdr:col>9</xdr:col>
      <xdr:colOff>295275</xdr:colOff>
      <xdr:row>550</xdr:row>
      <xdr:rowOff>171450</xdr:rowOff>
    </xdr:to>
    <xdr:sp>
      <xdr:nvSpPr>
        <xdr:cNvPr id="67" name="Line 120"/>
        <xdr:cNvSpPr>
          <a:spLocks/>
        </xdr:cNvSpPr>
      </xdr:nvSpPr>
      <xdr:spPr>
        <a:xfrm>
          <a:off x="5314950" y="828960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548</xdr:row>
      <xdr:rowOff>123825</xdr:rowOff>
    </xdr:from>
    <xdr:to>
      <xdr:col>9</xdr:col>
      <xdr:colOff>276225</xdr:colOff>
      <xdr:row>551</xdr:row>
      <xdr:rowOff>66675</xdr:rowOff>
    </xdr:to>
    <xdr:sp>
      <xdr:nvSpPr>
        <xdr:cNvPr id="68" name="Line 121"/>
        <xdr:cNvSpPr>
          <a:spLocks/>
        </xdr:cNvSpPr>
      </xdr:nvSpPr>
      <xdr:spPr>
        <a:xfrm>
          <a:off x="5476875" y="82572225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549</xdr:row>
      <xdr:rowOff>47625</xdr:rowOff>
    </xdr:from>
    <xdr:to>
      <xdr:col>9</xdr:col>
      <xdr:colOff>123825</xdr:colOff>
      <xdr:row>551</xdr:row>
      <xdr:rowOff>47625</xdr:rowOff>
    </xdr:to>
    <xdr:sp>
      <xdr:nvSpPr>
        <xdr:cNvPr id="69" name="Arc 122"/>
        <xdr:cNvSpPr>
          <a:spLocks/>
        </xdr:cNvSpPr>
      </xdr:nvSpPr>
      <xdr:spPr>
        <a:xfrm flipH="1">
          <a:off x="5553075" y="82696050"/>
          <a:ext cx="171450" cy="2762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549</xdr:row>
      <xdr:rowOff>38100</xdr:rowOff>
    </xdr:from>
    <xdr:to>
      <xdr:col>9</xdr:col>
      <xdr:colOff>85725</xdr:colOff>
      <xdr:row>551</xdr:row>
      <xdr:rowOff>19050</xdr:rowOff>
    </xdr:to>
    <xdr:sp>
      <xdr:nvSpPr>
        <xdr:cNvPr id="70" name="TextBox 123"/>
        <xdr:cNvSpPr txBox="1">
          <a:spLocks noChangeArrowheads="1"/>
        </xdr:cNvSpPr>
      </xdr:nvSpPr>
      <xdr:spPr>
        <a:xfrm>
          <a:off x="5295900" y="826865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45°</a:t>
          </a:r>
        </a:p>
      </xdr:txBody>
    </xdr:sp>
    <xdr:clientData/>
  </xdr:twoCellAnchor>
  <xdr:twoCellAnchor>
    <xdr:from>
      <xdr:col>9</xdr:col>
      <xdr:colOff>266700</xdr:colOff>
      <xdr:row>577</xdr:row>
      <xdr:rowOff>28575</xdr:rowOff>
    </xdr:from>
    <xdr:to>
      <xdr:col>9</xdr:col>
      <xdr:colOff>266700</xdr:colOff>
      <xdr:row>578</xdr:row>
      <xdr:rowOff>66675</xdr:rowOff>
    </xdr:to>
    <xdr:sp>
      <xdr:nvSpPr>
        <xdr:cNvPr id="71" name="Line 124"/>
        <xdr:cNvSpPr>
          <a:spLocks/>
        </xdr:cNvSpPr>
      </xdr:nvSpPr>
      <xdr:spPr>
        <a:xfrm>
          <a:off x="5867400" y="86915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588</xdr:row>
      <xdr:rowOff>0</xdr:rowOff>
    </xdr:from>
    <xdr:to>
      <xdr:col>10</xdr:col>
      <xdr:colOff>323850</xdr:colOff>
      <xdr:row>588</xdr:row>
      <xdr:rowOff>0</xdr:rowOff>
    </xdr:to>
    <xdr:sp>
      <xdr:nvSpPr>
        <xdr:cNvPr id="72" name="Line 126"/>
        <xdr:cNvSpPr>
          <a:spLocks/>
        </xdr:cNvSpPr>
      </xdr:nvSpPr>
      <xdr:spPr>
        <a:xfrm>
          <a:off x="6067425" y="88468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585</xdr:row>
      <xdr:rowOff>171450</xdr:rowOff>
    </xdr:from>
    <xdr:to>
      <xdr:col>10</xdr:col>
      <xdr:colOff>276225</xdr:colOff>
      <xdr:row>588</xdr:row>
      <xdr:rowOff>57150</xdr:rowOff>
    </xdr:to>
    <xdr:sp>
      <xdr:nvSpPr>
        <xdr:cNvPr id="73" name="Line 127"/>
        <xdr:cNvSpPr>
          <a:spLocks/>
        </xdr:cNvSpPr>
      </xdr:nvSpPr>
      <xdr:spPr>
        <a:xfrm>
          <a:off x="6134100" y="88163400"/>
          <a:ext cx="323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587</xdr:row>
      <xdr:rowOff>57150</xdr:rowOff>
    </xdr:from>
    <xdr:to>
      <xdr:col>10</xdr:col>
      <xdr:colOff>190500</xdr:colOff>
      <xdr:row>588</xdr:row>
      <xdr:rowOff>0</xdr:rowOff>
    </xdr:to>
    <xdr:sp>
      <xdr:nvSpPr>
        <xdr:cNvPr id="74" name="Arc 128"/>
        <xdr:cNvSpPr>
          <a:spLocks/>
        </xdr:cNvSpPr>
      </xdr:nvSpPr>
      <xdr:spPr>
        <a:xfrm flipH="1">
          <a:off x="6153150" y="88325325"/>
          <a:ext cx="219075" cy="142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586</xdr:row>
      <xdr:rowOff>57150</xdr:rowOff>
    </xdr:from>
    <xdr:to>
      <xdr:col>10</xdr:col>
      <xdr:colOff>133350</xdr:colOff>
      <xdr:row>587</xdr:row>
      <xdr:rowOff>152400</xdr:rowOff>
    </xdr:to>
    <xdr:sp>
      <xdr:nvSpPr>
        <xdr:cNvPr id="75" name="TextBox 129"/>
        <xdr:cNvSpPr txBox="1">
          <a:spLocks noChangeArrowheads="1"/>
        </xdr:cNvSpPr>
      </xdr:nvSpPr>
      <xdr:spPr>
        <a:xfrm>
          <a:off x="5962650" y="88249125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45°</a:t>
          </a:r>
        </a:p>
      </xdr:txBody>
    </xdr:sp>
    <xdr:clientData/>
  </xdr:twoCellAnchor>
  <xdr:twoCellAnchor>
    <xdr:from>
      <xdr:col>3</xdr:col>
      <xdr:colOff>190500</xdr:colOff>
      <xdr:row>595</xdr:row>
      <xdr:rowOff>95250</xdr:rowOff>
    </xdr:from>
    <xdr:to>
      <xdr:col>3</xdr:col>
      <xdr:colOff>457200</xdr:colOff>
      <xdr:row>595</xdr:row>
      <xdr:rowOff>95250</xdr:rowOff>
    </xdr:to>
    <xdr:sp>
      <xdr:nvSpPr>
        <xdr:cNvPr id="76" name="Line 130"/>
        <xdr:cNvSpPr>
          <a:spLocks/>
        </xdr:cNvSpPr>
      </xdr:nvSpPr>
      <xdr:spPr>
        <a:xfrm>
          <a:off x="2152650" y="89715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595</xdr:row>
      <xdr:rowOff>28575</xdr:rowOff>
    </xdr:from>
    <xdr:to>
      <xdr:col>9</xdr:col>
      <xdr:colOff>361950</xdr:colOff>
      <xdr:row>596</xdr:row>
      <xdr:rowOff>28575</xdr:rowOff>
    </xdr:to>
    <xdr:sp>
      <xdr:nvSpPr>
        <xdr:cNvPr id="77" name="Line 131"/>
        <xdr:cNvSpPr>
          <a:spLocks/>
        </xdr:cNvSpPr>
      </xdr:nvSpPr>
      <xdr:spPr>
        <a:xfrm>
          <a:off x="5962650" y="89649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615</xdr:row>
      <xdr:rowOff>28575</xdr:rowOff>
    </xdr:from>
    <xdr:to>
      <xdr:col>9</xdr:col>
      <xdr:colOff>266700</xdr:colOff>
      <xdr:row>616</xdr:row>
      <xdr:rowOff>66675</xdr:rowOff>
    </xdr:to>
    <xdr:sp>
      <xdr:nvSpPr>
        <xdr:cNvPr id="78" name="Line 132"/>
        <xdr:cNvSpPr>
          <a:spLocks/>
        </xdr:cNvSpPr>
      </xdr:nvSpPr>
      <xdr:spPr>
        <a:xfrm>
          <a:off x="5867400" y="92783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625</xdr:row>
      <xdr:rowOff>104775</xdr:rowOff>
    </xdr:from>
    <xdr:to>
      <xdr:col>9</xdr:col>
      <xdr:colOff>514350</xdr:colOff>
      <xdr:row>625</xdr:row>
      <xdr:rowOff>104775</xdr:rowOff>
    </xdr:to>
    <xdr:sp>
      <xdr:nvSpPr>
        <xdr:cNvPr id="79" name="Line 139"/>
        <xdr:cNvSpPr>
          <a:spLocks/>
        </xdr:cNvSpPr>
      </xdr:nvSpPr>
      <xdr:spPr>
        <a:xfrm flipH="1">
          <a:off x="5838825" y="94240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637</xdr:row>
      <xdr:rowOff>19050</xdr:rowOff>
    </xdr:from>
    <xdr:to>
      <xdr:col>9</xdr:col>
      <xdr:colOff>333375</xdr:colOff>
      <xdr:row>638</xdr:row>
      <xdr:rowOff>19050</xdr:rowOff>
    </xdr:to>
    <xdr:sp>
      <xdr:nvSpPr>
        <xdr:cNvPr id="80" name="Line 140"/>
        <xdr:cNvSpPr>
          <a:spLocks/>
        </xdr:cNvSpPr>
      </xdr:nvSpPr>
      <xdr:spPr>
        <a:xfrm>
          <a:off x="5934075" y="9593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643</xdr:row>
      <xdr:rowOff>95250</xdr:rowOff>
    </xdr:from>
    <xdr:to>
      <xdr:col>3</xdr:col>
      <xdr:colOff>457200</xdr:colOff>
      <xdr:row>643</xdr:row>
      <xdr:rowOff>95250</xdr:rowOff>
    </xdr:to>
    <xdr:sp>
      <xdr:nvSpPr>
        <xdr:cNvPr id="81" name="Line 141"/>
        <xdr:cNvSpPr>
          <a:spLocks/>
        </xdr:cNvSpPr>
      </xdr:nvSpPr>
      <xdr:spPr>
        <a:xfrm>
          <a:off x="2152650" y="96964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643</xdr:row>
      <xdr:rowOff>28575</xdr:rowOff>
    </xdr:from>
    <xdr:to>
      <xdr:col>9</xdr:col>
      <xdr:colOff>361950</xdr:colOff>
      <xdr:row>644</xdr:row>
      <xdr:rowOff>28575</xdr:rowOff>
    </xdr:to>
    <xdr:sp>
      <xdr:nvSpPr>
        <xdr:cNvPr id="82" name="Line 142"/>
        <xdr:cNvSpPr>
          <a:spLocks/>
        </xdr:cNvSpPr>
      </xdr:nvSpPr>
      <xdr:spPr>
        <a:xfrm>
          <a:off x="5962650" y="96897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662</xdr:row>
      <xdr:rowOff>123825</xdr:rowOff>
    </xdr:from>
    <xdr:to>
      <xdr:col>3</xdr:col>
      <xdr:colOff>457200</xdr:colOff>
      <xdr:row>662</xdr:row>
      <xdr:rowOff>123825</xdr:rowOff>
    </xdr:to>
    <xdr:sp>
      <xdr:nvSpPr>
        <xdr:cNvPr id="83" name="Line 143"/>
        <xdr:cNvSpPr>
          <a:spLocks/>
        </xdr:cNvSpPr>
      </xdr:nvSpPr>
      <xdr:spPr>
        <a:xfrm>
          <a:off x="2133600" y="99926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684</xdr:row>
      <xdr:rowOff>47625</xdr:rowOff>
    </xdr:from>
    <xdr:to>
      <xdr:col>3</xdr:col>
      <xdr:colOff>285750</xdr:colOff>
      <xdr:row>686</xdr:row>
      <xdr:rowOff>38100</xdr:rowOff>
    </xdr:to>
    <xdr:sp>
      <xdr:nvSpPr>
        <xdr:cNvPr id="84" name="Line 144"/>
        <xdr:cNvSpPr>
          <a:spLocks/>
        </xdr:cNvSpPr>
      </xdr:nvSpPr>
      <xdr:spPr>
        <a:xfrm>
          <a:off x="2247900" y="103632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707</xdr:row>
      <xdr:rowOff>123825</xdr:rowOff>
    </xdr:from>
    <xdr:to>
      <xdr:col>9</xdr:col>
      <xdr:colOff>457200</xdr:colOff>
      <xdr:row>707</xdr:row>
      <xdr:rowOff>123825</xdr:rowOff>
    </xdr:to>
    <xdr:sp>
      <xdr:nvSpPr>
        <xdr:cNvPr id="85" name="Line 145"/>
        <xdr:cNvSpPr>
          <a:spLocks/>
        </xdr:cNvSpPr>
      </xdr:nvSpPr>
      <xdr:spPr>
        <a:xfrm>
          <a:off x="5772150" y="107194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720</xdr:row>
      <xdr:rowOff>19050</xdr:rowOff>
    </xdr:from>
    <xdr:to>
      <xdr:col>9</xdr:col>
      <xdr:colOff>266700</xdr:colOff>
      <xdr:row>721</xdr:row>
      <xdr:rowOff>0</xdr:rowOff>
    </xdr:to>
    <xdr:sp>
      <xdr:nvSpPr>
        <xdr:cNvPr id="86" name="Line 146"/>
        <xdr:cNvSpPr>
          <a:spLocks/>
        </xdr:cNvSpPr>
      </xdr:nvSpPr>
      <xdr:spPr>
        <a:xfrm flipV="1">
          <a:off x="5867400" y="10931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724</xdr:row>
      <xdr:rowOff>28575</xdr:rowOff>
    </xdr:from>
    <xdr:to>
      <xdr:col>3</xdr:col>
      <xdr:colOff>361950</xdr:colOff>
      <xdr:row>725</xdr:row>
      <xdr:rowOff>28575</xdr:rowOff>
    </xdr:to>
    <xdr:sp>
      <xdr:nvSpPr>
        <xdr:cNvPr id="87" name="Line 147"/>
        <xdr:cNvSpPr>
          <a:spLocks/>
        </xdr:cNvSpPr>
      </xdr:nvSpPr>
      <xdr:spPr>
        <a:xfrm>
          <a:off x="2324100" y="109880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196</xdr:row>
      <xdr:rowOff>28575</xdr:rowOff>
    </xdr:from>
    <xdr:to>
      <xdr:col>1</xdr:col>
      <xdr:colOff>581025</xdr:colOff>
      <xdr:row>200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14425" y="308229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50</xdr:row>
      <xdr:rowOff>38100</xdr:rowOff>
    </xdr:from>
    <xdr:to>
      <xdr:col>1</xdr:col>
      <xdr:colOff>609600</xdr:colOff>
      <xdr:row>52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143000" y="85725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56</xdr:row>
      <xdr:rowOff>19050</xdr:rowOff>
    </xdr:from>
    <xdr:to>
      <xdr:col>1</xdr:col>
      <xdr:colOff>590550</xdr:colOff>
      <xdr:row>58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123950" y="93916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545</xdr:row>
      <xdr:rowOff>47625</xdr:rowOff>
    </xdr:from>
    <xdr:to>
      <xdr:col>0</xdr:col>
      <xdr:colOff>152400</xdr:colOff>
      <xdr:row>549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6200" y="8206740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660</xdr:row>
      <xdr:rowOff>66675</xdr:rowOff>
    </xdr:from>
    <xdr:to>
      <xdr:col>2</xdr:col>
      <xdr:colOff>447675</xdr:colOff>
      <xdr:row>662</xdr:row>
      <xdr:rowOff>38100</xdr:rowOff>
    </xdr:to>
    <xdr:sp>
      <xdr:nvSpPr>
        <xdr:cNvPr id="2" name="Line 2"/>
        <xdr:cNvSpPr>
          <a:spLocks/>
        </xdr:cNvSpPr>
      </xdr:nvSpPr>
      <xdr:spPr>
        <a:xfrm>
          <a:off x="2343150" y="98402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668</xdr:row>
      <xdr:rowOff>76200</xdr:rowOff>
    </xdr:from>
    <xdr:to>
      <xdr:col>2</xdr:col>
      <xdr:colOff>571500</xdr:colOff>
      <xdr:row>668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114550" y="99517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674</xdr:row>
      <xdr:rowOff>104775</xdr:rowOff>
    </xdr:from>
    <xdr:to>
      <xdr:col>2</xdr:col>
      <xdr:colOff>561975</xdr:colOff>
      <xdr:row>674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105025" y="100498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681</xdr:row>
      <xdr:rowOff>85725</xdr:rowOff>
    </xdr:from>
    <xdr:to>
      <xdr:col>2</xdr:col>
      <xdr:colOff>590550</xdr:colOff>
      <xdr:row>681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2114550" y="101507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715</xdr:row>
      <xdr:rowOff>0</xdr:rowOff>
    </xdr:from>
    <xdr:to>
      <xdr:col>2</xdr:col>
      <xdr:colOff>447675</xdr:colOff>
      <xdr:row>716</xdr:row>
      <xdr:rowOff>38100</xdr:rowOff>
    </xdr:to>
    <xdr:sp>
      <xdr:nvSpPr>
        <xdr:cNvPr id="6" name="Line 6"/>
        <xdr:cNvSpPr>
          <a:spLocks/>
        </xdr:cNvSpPr>
      </xdr:nvSpPr>
      <xdr:spPr>
        <a:xfrm>
          <a:off x="2343150" y="106613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722</xdr:row>
      <xdr:rowOff>76200</xdr:rowOff>
    </xdr:from>
    <xdr:to>
      <xdr:col>2</xdr:col>
      <xdr:colOff>571500</xdr:colOff>
      <xdr:row>722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2114550" y="107718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730</xdr:row>
      <xdr:rowOff>85725</xdr:rowOff>
    </xdr:from>
    <xdr:to>
      <xdr:col>2</xdr:col>
      <xdr:colOff>590550</xdr:colOff>
      <xdr:row>730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2114550" y="109080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746</xdr:row>
      <xdr:rowOff>66675</xdr:rowOff>
    </xdr:from>
    <xdr:to>
      <xdr:col>2</xdr:col>
      <xdr:colOff>609600</xdr:colOff>
      <xdr:row>746</xdr:row>
      <xdr:rowOff>66675</xdr:rowOff>
    </xdr:to>
    <xdr:sp>
      <xdr:nvSpPr>
        <xdr:cNvPr id="9" name="Line 9"/>
        <xdr:cNvSpPr>
          <a:spLocks/>
        </xdr:cNvSpPr>
      </xdr:nvSpPr>
      <xdr:spPr>
        <a:xfrm>
          <a:off x="2152650" y="111394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750</xdr:row>
      <xdr:rowOff>9525</xdr:rowOff>
    </xdr:from>
    <xdr:to>
      <xdr:col>2</xdr:col>
      <xdr:colOff>428625</xdr:colOff>
      <xdr:row>751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324100" y="111890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692</xdr:row>
      <xdr:rowOff>123825</xdr:rowOff>
    </xdr:from>
    <xdr:to>
      <xdr:col>4</xdr:col>
      <xdr:colOff>981075</xdr:colOff>
      <xdr:row>692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3733800" y="103374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696</xdr:row>
      <xdr:rowOff>0</xdr:rowOff>
    </xdr:from>
    <xdr:to>
      <xdr:col>2</xdr:col>
      <xdr:colOff>333375</xdr:colOff>
      <xdr:row>697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2228850" y="10380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738</xdr:row>
      <xdr:rowOff>9525</xdr:rowOff>
    </xdr:from>
    <xdr:to>
      <xdr:col>2</xdr:col>
      <xdr:colOff>314325</xdr:colOff>
      <xdr:row>739</xdr:row>
      <xdr:rowOff>38100</xdr:rowOff>
    </xdr:to>
    <xdr:sp>
      <xdr:nvSpPr>
        <xdr:cNvPr id="13" name="Line 13"/>
        <xdr:cNvSpPr>
          <a:spLocks/>
        </xdr:cNvSpPr>
      </xdr:nvSpPr>
      <xdr:spPr>
        <a:xfrm flipV="1">
          <a:off x="2209800" y="110232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9.00390625" style="1" customWidth="1"/>
    <col min="3" max="3" width="9.140625" style="1" customWidth="1"/>
    <col min="4" max="4" width="10.421875" style="1" customWidth="1"/>
    <col min="5" max="5" width="11.00390625" style="1" customWidth="1"/>
    <col min="6" max="8" width="9.140625" style="1" customWidth="1"/>
    <col min="9" max="9" width="5.7109375" style="1" customWidth="1"/>
    <col min="10" max="16384" width="9.140625" style="1" customWidth="1"/>
  </cols>
  <sheetData>
    <row r="1" s="86" customFormat="1" ht="15.75" customHeight="1">
      <c r="A1" s="85" t="s">
        <v>111</v>
      </c>
    </row>
    <row r="2" ht="6" customHeight="1"/>
    <row r="3" ht="15.75" customHeight="1">
      <c r="A3" s="5" t="s">
        <v>112</v>
      </c>
    </row>
    <row r="4" spans="1:6" ht="15.75" customHeight="1">
      <c r="A4" s="2" t="s">
        <v>698</v>
      </c>
      <c r="B4" s="1">
        <v>8825</v>
      </c>
      <c r="C4" s="4" t="s">
        <v>713</v>
      </c>
      <c r="D4" s="1" t="s">
        <v>2279</v>
      </c>
      <c r="E4" s="3">
        <v>18</v>
      </c>
      <c r="F4" s="4" t="s">
        <v>699</v>
      </c>
    </row>
    <row r="5" spans="1:6" ht="15.75" customHeight="1">
      <c r="A5" s="2" t="s">
        <v>2277</v>
      </c>
      <c r="B5" s="1">
        <v>133362</v>
      </c>
      <c r="C5" s="4" t="s">
        <v>713</v>
      </c>
      <c r="D5" s="1" t="s">
        <v>2280</v>
      </c>
      <c r="E5" s="3">
        <v>13</v>
      </c>
      <c r="F5" s="4" t="s">
        <v>699</v>
      </c>
    </row>
    <row r="6" spans="1:6" ht="6" customHeight="1">
      <c r="A6" s="2"/>
      <c r="C6" s="4"/>
      <c r="E6" s="3"/>
      <c r="F6" s="4"/>
    </row>
    <row r="7" spans="1:6" ht="15.75" customHeight="1">
      <c r="A7" s="5" t="s">
        <v>1272</v>
      </c>
      <c r="C7" s="4"/>
      <c r="E7" s="3"/>
      <c r="F7" s="4"/>
    </row>
    <row r="8" spans="3:6" ht="6" customHeight="1">
      <c r="C8" s="4"/>
      <c r="F8" s="4"/>
    </row>
    <row r="9" spans="1:6" ht="15.75" customHeight="1">
      <c r="A9" s="5" t="s">
        <v>113</v>
      </c>
      <c r="C9" s="4"/>
      <c r="F9" s="4"/>
    </row>
    <row r="10" spans="1:6" ht="6" customHeight="1">
      <c r="A10" s="5"/>
      <c r="C10" s="4"/>
      <c r="F10" s="4"/>
    </row>
    <row r="11" spans="1:6" ht="15.75" customHeight="1">
      <c r="A11" s="4" t="s">
        <v>1277</v>
      </c>
      <c r="C11" s="4"/>
      <c r="F11" s="4"/>
    </row>
    <row r="12" spans="1:6" ht="6" customHeight="1">
      <c r="A12" s="5"/>
      <c r="C12" s="4"/>
      <c r="F12" s="4"/>
    </row>
    <row r="13" spans="1:6" ht="15.75" customHeight="1">
      <c r="A13" s="1" t="s">
        <v>1496</v>
      </c>
      <c r="B13" s="1">
        <f>+B4*E5</f>
        <v>114725</v>
      </c>
      <c r="C13" s="4" t="s">
        <v>2487</v>
      </c>
      <c r="F13" s="4"/>
    </row>
    <row r="14" spans="3:6" ht="6" customHeight="1">
      <c r="C14" s="4"/>
      <c r="F14" s="4"/>
    </row>
    <row r="15" spans="1:6" ht="15.75" customHeight="1">
      <c r="A15" s="4" t="s">
        <v>1278</v>
      </c>
      <c r="C15" s="4"/>
      <c r="F15" s="4"/>
    </row>
    <row r="16" spans="3:6" ht="6" customHeight="1">
      <c r="C16" s="4"/>
      <c r="F16" s="4"/>
    </row>
    <row r="17" spans="1:7" ht="15.75" customHeight="1">
      <c r="A17" s="2" t="s">
        <v>1497</v>
      </c>
      <c r="C17" s="4" t="s">
        <v>903</v>
      </c>
      <c r="E17" s="7" t="s">
        <v>1270</v>
      </c>
      <c r="F17" s="8">
        <f>+B13/B5</f>
        <v>0.860252545702674</v>
      </c>
      <c r="G17" s="9" t="s">
        <v>699</v>
      </c>
    </row>
    <row r="18" spans="3:6" ht="6" customHeight="1">
      <c r="C18" s="4"/>
      <c r="F18" s="4"/>
    </row>
    <row r="19" spans="1:6" ht="15.75" customHeight="1">
      <c r="A19" s="4" t="s">
        <v>1499</v>
      </c>
      <c r="C19" s="4"/>
      <c r="F19" s="4"/>
    </row>
    <row r="20" spans="3:6" ht="5.25" customHeight="1">
      <c r="C20" s="4"/>
      <c r="F20" s="4"/>
    </row>
    <row r="21" spans="1:6" ht="15.75" customHeight="1">
      <c r="A21" s="1" t="s">
        <v>1498</v>
      </c>
      <c r="B21" s="1">
        <f>+B4*E4</f>
        <v>158850</v>
      </c>
      <c r="C21" s="4" t="s">
        <v>700</v>
      </c>
      <c r="D21" s="4" t="s">
        <v>1271</v>
      </c>
      <c r="F21" s="4"/>
    </row>
    <row r="22" spans="3:6" ht="6" customHeight="1">
      <c r="C22" s="4"/>
      <c r="F22" s="4"/>
    </row>
    <row r="23" spans="1:4" ht="15.75" customHeight="1">
      <c r="A23" s="4" t="s">
        <v>1500</v>
      </c>
      <c r="B23" s="334"/>
      <c r="C23" s="8">
        <f>+B21/10^5</f>
        <v>1.5885</v>
      </c>
      <c r="D23" s="9" t="s">
        <v>701</v>
      </c>
    </row>
    <row r="24" spans="3:6" ht="6" customHeight="1">
      <c r="C24" s="4"/>
      <c r="F24" s="4"/>
    </row>
    <row r="25" spans="1:9" ht="6" customHeight="1">
      <c r="A25" s="87"/>
      <c r="B25" s="87"/>
      <c r="C25" s="88"/>
      <c r="D25" s="87"/>
      <c r="E25" s="87"/>
      <c r="F25" s="88"/>
      <c r="G25" s="87"/>
      <c r="H25" s="87"/>
      <c r="I25" s="87"/>
    </row>
    <row r="26" ht="6" customHeight="1"/>
    <row r="27" s="86" customFormat="1" ht="15.75" customHeight="1">
      <c r="A27" s="85" t="s">
        <v>114</v>
      </c>
    </row>
    <row r="28" s="86" customFormat="1" ht="6" customHeight="1">
      <c r="A28" s="85"/>
    </row>
    <row r="29" s="86" customFormat="1" ht="15.75" customHeight="1">
      <c r="A29" s="5" t="s">
        <v>112</v>
      </c>
    </row>
    <row r="30" ht="6" customHeight="1"/>
    <row r="31" spans="1:6" ht="15.75" customHeight="1">
      <c r="A31" s="2" t="s">
        <v>698</v>
      </c>
      <c r="B31" s="1">
        <v>9806</v>
      </c>
      <c r="C31" s="4" t="s">
        <v>713</v>
      </c>
      <c r="D31" s="2" t="s">
        <v>703</v>
      </c>
      <c r="E31" s="3">
        <v>5</v>
      </c>
      <c r="F31" s="4" t="s">
        <v>699</v>
      </c>
    </row>
    <row r="32" spans="1:6" ht="15.75" customHeight="1">
      <c r="A32" s="2" t="s">
        <v>2488</v>
      </c>
      <c r="B32" s="1">
        <v>133362</v>
      </c>
      <c r="C32" s="4" t="s">
        <v>713</v>
      </c>
      <c r="D32" s="2" t="s">
        <v>2489</v>
      </c>
      <c r="E32" s="1">
        <v>600</v>
      </c>
      <c r="F32" s="4" t="s">
        <v>713</v>
      </c>
    </row>
    <row r="33" ht="6" customHeight="1"/>
    <row r="34" spans="1:6" ht="15.75" customHeight="1">
      <c r="A34" s="5" t="s">
        <v>1501</v>
      </c>
      <c r="C34" s="4"/>
      <c r="E34" s="3"/>
      <c r="F34" s="4"/>
    </row>
    <row r="35" ht="6" customHeight="1"/>
    <row r="36" ht="15.75" customHeight="1">
      <c r="A36" s="5" t="s">
        <v>113</v>
      </c>
    </row>
    <row r="37" ht="6" customHeight="1">
      <c r="A37" s="5"/>
    </row>
    <row r="38" ht="15.75" customHeight="1">
      <c r="A38" s="4" t="s">
        <v>1274</v>
      </c>
    </row>
    <row r="39" ht="15.75" customHeight="1">
      <c r="A39" s="4" t="s">
        <v>1273</v>
      </c>
    </row>
    <row r="40" ht="6" customHeight="1"/>
    <row r="41" spans="1:7" ht="15.75" customHeight="1">
      <c r="A41" s="2" t="s">
        <v>1502</v>
      </c>
      <c r="B41" s="4" t="s">
        <v>1504</v>
      </c>
      <c r="E41" s="2" t="s">
        <v>1503</v>
      </c>
      <c r="G41" s="4" t="s">
        <v>1505</v>
      </c>
    </row>
    <row r="42" ht="6" customHeight="1"/>
    <row r="43" spans="1:9" ht="15.75" customHeight="1">
      <c r="A43" s="4" t="s">
        <v>1275</v>
      </c>
      <c r="B43" s="4"/>
      <c r="G43" s="16"/>
      <c r="H43" s="130"/>
      <c r="I43" s="14"/>
    </row>
    <row r="44" spans="1:9" ht="6" customHeight="1">
      <c r="A44" s="2"/>
      <c r="B44" s="4"/>
      <c r="G44" s="16"/>
      <c r="H44" s="130"/>
      <c r="I44" s="14"/>
    </row>
    <row r="45" spans="1:9" ht="15.75" customHeight="1">
      <c r="A45" s="7" t="s">
        <v>1506</v>
      </c>
      <c r="B45" s="136">
        <f>+E31*B31/(B32-B31)</f>
        <v>0.3968241121434815</v>
      </c>
      <c r="C45" s="9" t="s">
        <v>699</v>
      </c>
      <c r="E45" s="287" t="s">
        <v>1276</v>
      </c>
      <c r="F45" s="10"/>
      <c r="G45" s="136">
        <f>+E31*B31/(B31-E32)</f>
        <v>5.325874429719748</v>
      </c>
      <c r="H45" s="9" t="s">
        <v>699</v>
      </c>
      <c r="I45" s="14"/>
    </row>
    <row r="46" spans="1:3" s="12" customFormat="1" ht="6" customHeight="1">
      <c r="A46" s="16"/>
      <c r="B46" s="15"/>
      <c r="C46" s="14"/>
    </row>
    <row r="47" spans="1:9" s="12" customFormat="1" ht="6" customHeight="1">
      <c r="A47" s="89"/>
      <c r="B47" s="90"/>
      <c r="C47" s="88"/>
      <c r="D47" s="87"/>
      <c r="E47" s="87"/>
      <c r="F47" s="87"/>
      <c r="G47" s="87"/>
      <c r="H47" s="87"/>
      <c r="I47" s="87"/>
    </row>
    <row r="48" ht="6" customHeight="1"/>
    <row r="49" spans="1:6" ht="15.75" customHeight="1">
      <c r="A49" s="85" t="s">
        <v>115</v>
      </c>
      <c r="C49" s="4"/>
      <c r="F49" s="4"/>
    </row>
    <row r="50" spans="3:6" ht="6" customHeight="1">
      <c r="C50" s="4"/>
      <c r="F50" s="4"/>
    </row>
    <row r="51" spans="1:6" ht="15.75" customHeight="1">
      <c r="A51" s="5" t="s">
        <v>112</v>
      </c>
      <c r="C51" s="4"/>
      <c r="F51" s="4"/>
    </row>
    <row r="52" spans="3:6" ht="6" customHeight="1">
      <c r="C52" s="4"/>
      <c r="F52" s="4"/>
    </row>
    <row r="53" spans="1:9" ht="15.75" customHeight="1">
      <c r="A53" s="2" t="s">
        <v>2281</v>
      </c>
      <c r="B53" s="1">
        <v>9806</v>
      </c>
      <c r="C53" s="4" t="s">
        <v>713</v>
      </c>
      <c r="D53" s="1" t="s">
        <v>714</v>
      </c>
      <c r="E53" s="3">
        <v>0.08</v>
      </c>
      <c r="F53" s="4" t="s">
        <v>699</v>
      </c>
      <c r="G53" s="1" t="s">
        <v>2286</v>
      </c>
      <c r="H53" s="3">
        <v>0.5</v>
      </c>
      <c r="I53" s="4" t="s">
        <v>699</v>
      </c>
    </row>
    <row r="54" spans="1:9" ht="15.75" customHeight="1">
      <c r="A54" s="2" t="s">
        <v>2282</v>
      </c>
      <c r="B54" s="1">
        <v>8825</v>
      </c>
      <c r="C54" s="4" t="s">
        <v>713</v>
      </c>
      <c r="D54" s="1" t="s">
        <v>2284</v>
      </c>
      <c r="E54" s="3">
        <v>0.17</v>
      </c>
      <c r="F54" s="4" t="s">
        <v>699</v>
      </c>
      <c r="G54" s="2" t="s">
        <v>702</v>
      </c>
      <c r="H54" s="3">
        <v>0.15</v>
      </c>
      <c r="I54" s="4" t="s">
        <v>699</v>
      </c>
    </row>
    <row r="55" spans="1:9" ht="15.75" customHeight="1">
      <c r="A55" s="2" t="s">
        <v>2277</v>
      </c>
      <c r="B55" s="1">
        <v>133362</v>
      </c>
      <c r="C55" s="4" t="s">
        <v>713</v>
      </c>
      <c r="D55" s="1" t="s">
        <v>2285</v>
      </c>
      <c r="E55" s="3">
        <v>0.5</v>
      </c>
      <c r="F55" s="4" t="s">
        <v>699</v>
      </c>
      <c r="I55" s="4"/>
    </row>
    <row r="56" spans="1:9" ht="6" customHeight="1">
      <c r="A56" s="2"/>
      <c r="C56" s="4"/>
      <c r="E56" s="3"/>
      <c r="F56" s="4"/>
      <c r="I56" s="4"/>
    </row>
    <row r="57" spans="1:9" ht="15.75" customHeight="1">
      <c r="A57" s="5" t="s">
        <v>1279</v>
      </c>
      <c r="C57" s="4"/>
      <c r="E57" s="3"/>
      <c r="F57" s="4"/>
      <c r="I57" s="4"/>
    </row>
    <row r="58" spans="1:9" ht="6" customHeight="1">
      <c r="A58" s="5"/>
      <c r="C58" s="4"/>
      <c r="E58" s="3"/>
      <c r="F58" s="4"/>
      <c r="I58" s="4"/>
    </row>
    <row r="59" spans="1:9" ht="15.75" customHeight="1">
      <c r="A59" s="5" t="s">
        <v>113</v>
      </c>
      <c r="C59" s="4"/>
      <c r="E59" s="3"/>
      <c r="F59" s="4"/>
      <c r="I59" s="4"/>
    </row>
    <row r="60" spans="1:9" ht="6" customHeight="1">
      <c r="A60" s="5"/>
      <c r="C60" s="4"/>
      <c r="E60" s="3"/>
      <c r="F60" s="4"/>
      <c r="I60" s="4"/>
    </row>
    <row r="61" spans="1:9" ht="15.75" customHeight="1">
      <c r="A61" s="4" t="s">
        <v>1280</v>
      </c>
      <c r="C61" s="4"/>
      <c r="E61" s="3"/>
      <c r="F61" s="4"/>
      <c r="I61" s="4"/>
    </row>
    <row r="62" spans="1:9" ht="6" customHeight="1">
      <c r="A62" s="5"/>
      <c r="C62" s="4"/>
      <c r="E62" s="3"/>
      <c r="F62" s="4"/>
      <c r="I62" s="4"/>
    </row>
    <row r="63" spans="1:9" ht="15.75" customHeight="1">
      <c r="A63" s="1" t="s">
        <v>2242</v>
      </c>
      <c r="B63" s="6">
        <f>+B55*H54</f>
        <v>20004.3</v>
      </c>
      <c r="C63" s="4" t="s">
        <v>700</v>
      </c>
      <c r="D63" s="4" t="s">
        <v>1281</v>
      </c>
      <c r="E63" s="3"/>
      <c r="F63" s="4"/>
      <c r="I63" s="4"/>
    </row>
    <row r="64" spans="3:9" ht="6" customHeight="1">
      <c r="C64" s="4"/>
      <c r="D64" s="4"/>
      <c r="F64" s="4"/>
      <c r="I64" s="4"/>
    </row>
    <row r="65" spans="1:9" ht="15.75" customHeight="1">
      <c r="A65" s="1" t="s">
        <v>1507</v>
      </c>
      <c r="B65" s="3">
        <f>+B63/B53</f>
        <v>2.040006118702835</v>
      </c>
      <c r="C65" s="4" t="s">
        <v>699</v>
      </c>
      <c r="I65" s="4"/>
    </row>
    <row r="66" spans="2:9" ht="6" customHeight="1">
      <c r="B66" s="3"/>
      <c r="C66" s="4"/>
      <c r="I66" s="4"/>
    </row>
    <row r="67" spans="1:9" ht="15.75" customHeight="1">
      <c r="A67" s="4" t="s">
        <v>1508</v>
      </c>
      <c r="B67" s="3"/>
      <c r="C67" s="4"/>
      <c r="I67" s="4"/>
    </row>
    <row r="68" spans="1:9" ht="15.75" customHeight="1">
      <c r="A68" s="222" t="s">
        <v>1282</v>
      </c>
      <c r="B68" s="3"/>
      <c r="C68" s="4"/>
      <c r="I68" s="4"/>
    </row>
    <row r="69" spans="1:9" ht="6" customHeight="1">
      <c r="A69" s="4"/>
      <c r="B69" s="3"/>
      <c r="C69" s="4"/>
      <c r="I69" s="4"/>
    </row>
    <row r="70" spans="1:9" ht="15.75" customHeight="1">
      <c r="A70" s="1" t="s">
        <v>1283</v>
      </c>
      <c r="B70" s="3">
        <f>+B65-E53+E54</f>
        <v>2.130006118702835</v>
      </c>
      <c r="C70" s="4" t="s">
        <v>699</v>
      </c>
      <c r="D70" s="1" t="s">
        <v>1284</v>
      </c>
      <c r="E70" s="10" t="s">
        <v>1509</v>
      </c>
      <c r="F70" s="10"/>
      <c r="G70" s="11">
        <f>+B70*B53</f>
        <v>20886.84</v>
      </c>
      <c r="H70" s="10" t="s">
        <v>700</v>
      </c>
      <c r="I70" s="4"/>
    </row>
    <row r="71" spans="1:9" ht="6" customHeight="1">
      <c r="A71" s="4"/>
      <c r="B71" s="3"/>
      <c r="C71" s="4"/>
      <c r="I71" s="4"/>
    </row>
    <row r="72" spans="1:9" ht="15.75" customHeight="1">
      <c r="A72" s="4" t="s">
        <v>1510</v>
      </c>
      <c r="B72" s="3"/>
      <c r="C72" s="4"/>
      <c r="I72" s="4"/>
    </row>
    <row r="73" spans="1:9" ht="15.75" customHeight="1">
      <c r="A73" s="4" t="s">
        <v>1285</v>
      </c>
      <c r="B73" s="3"/>
      <c r="C73" s="4"/>
      <c r="I73" s="4"/>
    </row>
    <row r="74" spans="1:9" ht="6" customHeight="1">
      <c r="A74" s="4"/>
      <c r="B74" s="3"/>
      <c r="C74" s="4"/>
      <c r="I74" s="4"/>
    </row>
    <row r="75" spans="1:9" ht="15.75" customHeight="1">
      <c r="A75" s="10" t="s">
        <v>1511</v>
      </c>
      <c r="B75" s="11">
        <f>+B63+B53*(E54-E53)</f>
        <v>20886.84</v>
      </c>
      <c r="C75" s="9" t="s">
        <v>700</v>
      </c>
      <c r="D75" s="1" t="s">
        <v>1286</v>
      </c>
      <c r="I75" s="4"/>
    </row>
    <row r="76" spans="1:9" ht="6" customHeight="1">
      <c r="A76" s="4"/>
      <c r="B76" s="3"/>
      <c r="C76" s="4"/>
      <c r="I76" s="4"/>
    </row>
    <row r="77" spans="1:9" ht="15.75" customHeight="1">
      <c r="A77" s="4" t="s">
        <v>1287</v>
      </c>
      <c r="B77" s="3"/>
      <c r="C77" s="4"/>
      <c r="I77" s="4"/>
    </row>
    <row r="78" spans="1:9" ht="15.75" customHeight="1">
      <c r="A78" s="4" t="s">
        <v>1288</v>
      </c>
      <c r="B78" s="3"/>
      <c r="C78" s="4"/>
      <c r="I78" s="4"/>
    </row>
    <row r="79" spans="1:9" ht="15.75" customHeight="1">
      <c r="A79" s="4" t="s">
        <v>1289</v>
      </c>
      <c r="B79" s="3"/>
      <c r="C79" s="4"/>
      <c r="I79" s="4"/>
    </row>
    <row r="80" spans="1:9" ht="6" customHeight="1">
      <c r="A80" s="4"/>
      <c r="B80" s="3"/>
      <c r="C80" s="4"/>
      <c r="I80" s="4"/>
    </row>
    <row r="81" spans="1:9" ht="15.75" customHeight="1">
      <c r="A81" s="4" t="s">
        <v>1290</v>
      </c>
      <c r="B81" s="3"/>
      <c r="C81" s="4"/>
      <c r="E81" s="4" t="s">
        <v>1292</v>
      </c>
      <c r="G81" s="3">
        <f>+B65-(E53+E55)</f>
        <v>1.460006118702835</v>
      </c>
      <c r="H81" s="4" t="s">
        <v>699</v>
      </c>
      <c r="I81" s="4"/>
    </row>
    <row r="82" spans="1:9" ht="6" customHeight="1">
      <c r="A82" s="4"/>
      <c r="B82" s="3"/>
      <c r="C82" s="4"/>
      <c r="I82" s="4"/>
    </row>
    <row r="83" spans="1:5" ht="15.75" customHeight="1">
      <c r="A83" s="4" t="s">
        <v>1291</v>
      </c>
      <c r="B83" s="4" t="s">
        <v>1512</v>
      </c>
      <c r="D83" s="6">
        <f>+B53*G81</f>
        <v>14316.82</v>
      </c>
      <c r="E83" s="4" t="s">
        <v>700</v>
      </c>
    </row>
    <row r="84" ht="6" customHeight="1">
      <c r="I84" s="4"/>
    </row>
    <row r="85" spans="1:9" ht="15.75" customHeight="1">
      <c r="A85" s="4" t="s">
        <v>1293</v>
      </c>
      <c r="G85" s="2" t="s">
        <v>1513</v>
      </c>
      <c r="I85" s="4"/>
    </row>
    <row r="86" spans="1:9" ht="15.75" customHeight="1">
      <c r="A86" s="4" t="s">
        <v>1294</v>
      </c>
      <c r="I86" s="4"/>
    </row>
    <row r="87" spans="1:9" ht="6" customHeight="1">
      <c r="A87" s="4"/>
      <c r="B87" s="3"/>
      <c r="C87" s="4"/>
      <c r="I87" s="4"/>
    </row>
    <row r="88" spans="1:9" ht="15.75" customHeight="1">
      <c r="A88" s="1" t="s">
        <v>1514</v>
      </c>
      <c r="B88" s="3">
        <f>+D83/B54</f>
        <v>1.6223025495750707</v>
      </c>
      <c r="C88" s="4" t="s">
        <v>699</v>
      </c>
      <c r="I88" s="4"/>
    </row>
    <row r="89" spans="1:9" ht="6" customHeight="1">
      <c r="A89" s="4"/>
      <c r="B89" s="3"/>
      <c r="C89" s="4"/>
      <c r="I89" s="4"/>
    </row>
    <row r="90" spans="1:9" ht="15.75" customHeight="1">
      <c r="A90" s="4" t="s">
        <v>1296</v>
      </c>
      <c r="B90" s="3"/>
      <c r="C90" s="4"/>
      <c r="I90" s="4"/>
    </row>
    <row r="91" spans="1:9" ht="15.75" customHeight="1">
      <c r="A91" s="4" t="s">
        <v>1295</v>
      </c>
      <c r="B91" s="3"/>
      <c r="C91" s="4"/>
      <c r="I91" s="4"/>
    </row>
    <row r="92" spans="1:9" ht="6" customHeight="1">
      <c r="A92" s="4"/>
      <c r="C92" s="4"/>
      <c r="I92" s="4"/>
    </row>
    <row r="93" spans="1:9" ht="15.75" customHeight="1">
      <c r="A93" s="1" t="s">
        <v>1297</v>
      </c>
      <c r="B93" s="3">
        <f>+B88-H53</f>
        <v>1.1223025495750707</v>
      </c>
      <c r="C93" s="4" t="s">
        <v>699</v>
      </c>
      <c r="E93" s="10" t="s">
        <v>1515</v>
      </c>
      <c r="F93" s="11">
        <f>+B54*B93</f>
        <v>9904.32</v>
      </c>
      <c r="G93" s="9" t="s">
        <v>700</v>
      </c>
      <c r="I93" s="4"/>
    </row>
    <row r="94" spans="6:9" ht="6" customHeight="1">
      <c r="F94" s="4"/>
      <c r="I94" s="4"/>
    </row>
    <row r="95" spans="1:9" s="12" customFormat="1" ht="6" customHeight="1">
      <c r="A95" s="87"/>
      <c r="B95" s="91"/>
      <c r="C95" s="88"/>
      <c r="D95" s="87"/>
      <c r="E95" s="90"/>
      <c r="F95" s="88"/>
      <c r="G95" s="87"/>
      <c r="H95" s="91"/>
      <c r="I95" s="88"/>
    </row>
    <row r="96" spans="2:9" ht="6" customHeight="1">
      <c r="B96" s="6"/>
      <c r="C96" s="4"/>
      <c r="E96" s="3"/>
      <c r="F96" s="4"/>
      <c r="H96" s="6"/>
      <c r="I96" s="4"/>
    </row>
    <row r="97" spans="1:6" ht="15.75">
      <c r="A97" s="85" t="s">
        <v>116</v>
      </c>
      <c r="C97" s="4"/>
      <c r="F97" s="4"/>
    </row>
    <row r="98" spans="3:6" ht="6" customHeight="1">
      <c r="C98" s="4"/>
      <c r="F98" s="4"/>
    </row>
    <row r="99" spans="1:6" ht="15.75" customHeight="1">
      <c r="A99" s="5" t="s">
        <v>112</v>
      </c>
      <c r="C99" s="4"/>
      <c r="F99" s="4"/>
    </row>
    <row r="100" spans="3:6" ht="6" customHeight="1">
      <c r="C100" s="4"/>
      <c r="F100" s="4"/>
    </row>
    <row r="101" spans="1:9" ht="15.75">
      <c r="A101" s="2" t="s">
        <v>698</v>
      </c>
      <c r="B101" s="1">
        <v>9806</v>
      </c>
      <c r="C101" s="4" t="s">
        <v>713</v>
      </c>
      <c r="D101" s="1" t="s">
        <v>2291</v>
      </c>
      <c r="E101" s="3">
        <v>0.3</v>
      </c>
      <c r="F101" s="4" t="s">
        <v>699</v>
      </c>
      <c r="G101" s="1" t="s">
        <v>2293</v>
      </c>
      <c r="H101" s="3">
        <v>0.35</v>
      </c>
      <c r="I101" s="4" t="s">
        <v>699</v>
      </c>
    </row>
    <row r="102" spans="1:9" ht="15.75">
      <c r="A102" s="2" t="s">
        <v>2277</v>
      </c>
      <c r="B102" s="1">
        <v>133362</v>
      </c>
      <c r="C102" s="4" t="s">
        <v>713</v>
      </c>
      <c r="D102" s="1" t="s">
        <v>2292</v>
      </c>
      <c r="E102" s="3">
        <v>0.25</v>
      </c>
      <c r="F102" s="4" t="s">
        <v>699</v>
      </c>
      <c r="G102" s="2"/>
      <c r="H102" s="3"/>
      <c r="I102" s="4"/>
    </row>
    <row r="103" spans="1:9" ht="6" customHeight="1">
      <c r="A103" s="2"/>
      <c r="C103" s="4"/>
      <c r="E103" s="3"/>
      <c r="F103" s="4"/>
      <c r="G103" s="2"/>
      <c r="H103" s="3"/>
      <c r="I103" s="4"/>
    </row>
    <row r="104" spans="1:9" ht="12.75">
      <c r="A104" s="5" t="s">
        <v>117</v>
      </c>
      <c r="C104" s="4"/>
      <c r="E104" s="3"/>
      <c r="F104" s="4"/>
      <c r="G104" s="2"/>
      <c r="H104" s="3"/>
      <c r="I104" s="4"/>
    </row>
    <row r="105" spans="1:9" ht="6" customHeight="1">
      <c r="A105" s="2"/>
      <c r="C105" s="4"/>
      <c r="E105" s="3"/>
      <c r="F105" s="4"/>
      <c r="G105" s="2"/>
      <c r="H105" s="3"/>
      <c r="I105" s="4"/>
    </row>
    <row r="106" spans="1:9" ht="12.75">
      <c r="A106" s="5" t="s">
        <v>113</v>
      </c>
      <c r="H106" s="3"/>
      <c r="I106" s="4"/>
    </row>
    <row r="107" spans="3:9" ht="12.75">
      <c r="C107" s="4"/>
      <c r="F107" s="4"/>
      <c r="I107" s="4"/>
    </row>
    <row r="108" spans="1:9" ht="12.75">
      <c r="A108" s="1" t="s">
        <v>2287</v>
      </c>
      <c r="B108" s="6">
        <f>+B102*H101</f>
        <v>46676.7</v>
      </c>
      <c r="C108" s="4" t="s">
        <v>700</v>
      </c>
      <c r="D108" s="1" t="s">
        <v>2289</v>
      </c>
      <c r="E108" s="6">
        <f>++B108-B101*E102</f>
        <v>44225.2</v>
      </c>
      <c r="F108" s="4" t="s">
        <v>700</v>
      </c>
      <c r="H108" s="3"/>
      <c r="I108" s="4"/>
    </row>
    <row r="109" spans="1:9" ht="12.75">
      <c r="A109" s="1" t="s">
        <v>2288</v>
      </c>
      <c r="B109" s="6">
        <f>+E108+B102*E101</f>
        <v>84233.79999999999</v>
      </c>
      <c r="C109" s="4" t="s">
        <v>700</v>
      </c>
      <c r="D109" s="10" t="s">
        <v>2290</v>
      </c>
      <c r="E109" s="8">
        <f>+B109/B101</f>
        <v>8.59002651437895</v>
      </c>
      <c r="F109" s="9" t="s">
        <v>699</v>
      </c>
      <c r="H109" s="3"/>
      <c r="I109" s="4"/>
    </row>
    <row r="110" spans="3:9" ht="6" customHeight="1">
      <c r="C110" s="4"/>
      <c r="F110" s="4"/>
      <c r="I110" s="4"/>
    </row>
    <row r="111" spans="1:9" ht="6" customHeight="1">
      <c r="A111" s="87"/>
      <c r="B111" s="91"/>
      <c r="C111" s="88"/>
      <c r="D111" s="87"/>
      <c r="E111" s="90"/>
      <c r="F111" s="88"/>
      <c r="G111" s="87"/>
      <c r="H111" s="91"/>
      <c r="I111" s="88"/>
    </row>
  </sheetData>
  <sheetProtection password="DD5B" sheet="1" objects="1" scenarios="1"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7"/>
  <sheetViews>
    <sheetView view="pageBreakPreview" zoomScaleSheetLayoutView="100" workbookViewId="0" topLeftCell="A736">
      <selection activeCell="F745" sqref="F745"/>
    </sheetView>
  </sheetViews>
  <sheetFormatPr defaultColWidth="9.140625" defaultRowHeight="15.75" customHeight="1"/>
  <cols>
    <col min="1" max="1" width="18.28125" style="120" customWidth="1"/>
    <col min="2" max="2" width="10.140625" style="120" customWidth="1"/>
    <col min="3" max="3" width="9.140625" style="120" customWidth="1"/>
    <col min="4" max="4" width="11.00390625" style="120" customWidth="1"/>
    <col min="5" max="5" width="17.57421875" style="120" customWidth="1"/>
    <col min="6" max="6" width="9.140625" style="120" customWidth="1"/>
    <col min="7" max="7" width="10.140625" style="120" customWidth="1"/>
    <col min="8" max="8" width="9.140625" style="120" customWidth="1"/>
    <col min="9" max="9" width="6.28125" style="120" customWidth="1"/>
    <col min="10" max="16384" width="9.140625" style="120" customWidth="1"/>
  </cols>
  <sheetData>
    <row r="1" ht="15.75" customHeight="1">
      <c r="A1" s="85" t="s">
        <v>2452</v>
      </c>
    </row>
    <row r="2" ht="6" customHeight="1">
      <c r="A2" s="1"/>
    </row>
    <row r="3" ht="15.75" customHeight="1">
      <c r="A3" s="5" t="s">
        <v>112</v>
      </c>
    </row>
    <row r="4" ht="6" customHeight="1"/>
    <row r="5" spans="1:9" ht="15.75" customHeight="1">
      <c r="A5" s="1" t="s">
        <v>1726</v>
      </c>
      <c r="B5" s="3">
        <v>65</v>
      </c>
      <c r="C5" s="22" t="s">
        <v>699</v>
      </c>
      <c r="D5" s="1" t="s">
        <v>892</v>
      </c>
      <c r="E5" s="3">
        <v>10</v>
      </c>
      <c r="F5" s="4" t="s">
        <v>699</v>
      </c>
      <c r="G5" s="1" t="s">
        <v>2373</v>
      </c>
      <c r="H5" s="3">
        <v>0.25</v>
      </c>
      <c r="I5" s="300" t="s">
        <v>2374</v>
      </c>
    </row>
    <row r="6" spans="1:9" ht="15.75" customHeight="1">
      <c r="A6" s="1" t="s">
        <v>2453</v>
      </c>
      <c r="B6" s="3">
        <v>20</v>
      </c>
      <c r="C6" s="22" t="s">
        <v>699</v>
      </c>
      <c r="D6" s="1" t="s">
        <v>894</v>
      </c>
      <c r="E6" s="3">
        <v>12</v>
      </c>
      <c r="F6" s="4" t="s">
        <v>699</v>
      </c>
      <c r="G6" s="1" t="s">
        <v>1017</v>
      </c>
      <c r="H6" s="1">
        <v>9.806</v>
      </c>
      <c r="I6" s="25" t="s">
        <v>1018</v>
      </c>
    </row>
    <row r="7" spans="1:9" ht="15.75" customHeight="1">
      <c r="A7" s="1" t="s">
        <v>2454</v>
      </c>
      <c r="B7" s="3">
        <v>20</v>
      </c>
      <c r="C7" s="22" t="s">
        <v>699</v>
      </c>
      <c r="D7" s="1" t="s">
        <v>1175</v>
      </c>
      <c r="E7" s="3">
        <v>15</v>
      </c>
      <c r="F7" s="4" t="s">
        <v>699</v>
      </c>
      <c r="G7" s="2" t="s">
        <v>2455</v>
      </c>
      <c r="H7" s="6">
        <v>10</v>
      </c>
      <c r="I7" s="22" t="s">
        <v>706</v>
      </c>
    </row>
    <row r="8" spans="1:8" ht="15.75" customHeight="1">
      <c r="A8" s="2" t="s">
        <v>525</v>
      </c>
      <c r="B8" s="68">
        <v>6668</v>
      </c>
      <c r="C8" s="25" t="s">
        <v>713</v>
      </c>
      <c r="D8" s="1" t="s">
        <v>702</v>
      </c>
      <c r="E8" s="3">
        <v>0.3</v>
      </c>
      <c r="F8" s="4" t="s">
        <v>699</v>
      </c>
      <c r="G8" s="2" t="s">
        <v>705</v>
      </c>
      <c r="H8" s="6">
        <v>1</v>
      </c>
    </row>
    <row r="9" spans="1:8" ht="15.75" customHeight="1">
      <c r="A9" s="2" t="s">
        <v>528</v>
      </c>
      <c r="B9" s="138">
        <v>4.4E-07</v>
      </c>
      <c r="C9" s="25" t="s">
        <v>893</v>
      </c>
      <c r="D9" s="2" t="s">
        <v>2456</v>
      </c>
      <c r="E9" s="215">
        <f>7*0.0001</f>
        <v>0.0007</v>
      </c>
      <c r="F9" s="4" t="s">
        <v>699</v>
      </c>
      <c r="G9" s="107" t="s">
        <v>2457</v>
      </c>
      <c r="H9" s="68">
        <v>1</v>
      </c>
    </row>
    <row r="10" ht="6" customHeight="1">
      <c r="G10" s="264"/>
    </row>
    <row r="11" spans="1:7" ht="15.75" customHeight="1">
      <c r="A11" s="5" t="s">
        <v>2215</v>
      </c>
      <c r="D11" s="75"/>
      <c r="E11" s="264"/>
      <c r="F11" s="4"/>
      <c r="G11" s="2"/>
    </row>
    <row r="12" spans="1:7" ht="6" customHeight="1">
      <c r="A12" s="264"/>
      <c r="B12" s="264"/>
      <c r="C12" s="264"/>
      <c r="D12" s="264"/>
      <c r="E12" s="264"/>
      <c r="F12" s="264"/>
      <c r="G12" s="264"/>
    </row>
    <row r="13" spans="1:7" ht="15.75" customHeight="1">
      <c r="A13" s="5" t="s">
        <v>113</v>
      </c>
      <c r="B13" s="264"/>
      <c r="C13" s="264"/>
      <c r="D13" s="264"/>
      <c r="E13" s="264"/>
      <c r="F13" s="264"/>
      <c r="G13" s="264"/>
    </row>
    <row r="14" spans="1:7" ht="6" customHeight="1">
      <c r="A14" s="264"/>
      <c r="B14" s="264"/>
      <c r="C14" s="264"/>
      <c r="D14" s="264"/>
      <c r="E14" s="264"/>
      <c r="F14" s="264"/>
      <c r="G14" s="264"/>
    </row>
    <row r="15" spans="1:7" ht="15.75" customHeight="1">
      <c r="A15" s="265" t="s">
        <v>2216</v>
      </c>
      <c r="B15" s="264"/>
      <c r="C15" s="264"/>
      <c r="D15" s="264"/>
      <c r="E15" s="264"/>
      <c r="F15" s="264"/>
      <c r="G15" s="264"/>
    </row>
    <row r="16" spans="1:7" ht="6" customHeight="1">
      <c r="A16" s="264"/>
      <c r="B16" s="264"/>
      <c r="C16" s="264"/>
      <c r="D16" s="264"/>
      <c r="E16" s="264"/>
      <c r="F16" s="264"/>
      <c r="G16" s="264"/>
    </row>
    <row r="17" spans="1:7" ht="15.75" customHeight="1">
      <c r="A17" s="4" t="s">
        <v>2217</v>
      </c>
      <c r="C17" s="273">
        <f>4*$H$5/(PI()*$B$9*E8)</f>
        <v>2411438.531695384</v>
      </c>
      <c r="E17" s="1" t="s">
        <v>320</v>
      </c>
      <c r="F17" s="3">
        <f>+PI()*E8^2/4</f>
        <v>0.07068583470577035</v>
      </c>
      <c r="G17" s="28" t="s">
        <v>108</v>
      </c>
    </row>
    <row r="18" spans="2:7" ht="15.75" customHeight="1">
      <c r="B18" s="2" t="s">
        <v>2218</v>
      </c>
      <c r="C18" s="3">
        <f>E9/E8</f>
        <v>0.0023333333333333335</v>
      </c>
      <c r="D18" s="264"/>
      <c r="E18" s="264"/>
      <c r="F18" s="264"/>
      <c r="G18" s="264"/>
    </row>
    <row r="19" spans="2:7" ht="15.75" customHeight="1">
      <c r="B19" s="2" t="s">
        <v>2219</v>
      </c>
      <c r="C19" s="19">
        <v>0.024462417454981934</v>
      </c>
      <c r="D19" s="84" t="s">
        <v>55</v>
      </c>
      <c r="E19" s="264"/>
      <c r="F19" s="264"/>
      <c r="G19" s="264"/>
    </row>
    <row r="20" spans="1:7" ht="15.75" customHeight="1">
      <c r="A20" s="125" t="s">
        <v>901</v>
      </c>
      <c r="C20" s="273">
        <f>1/SQRT(C19)+2*LOG10(2.51/(C17*SQRT(C19))+C18/3.71)</f>
        <v>1.9809734118858557E-05</v>
      </c>
      <c r="E20" s="1" t="s">
        <v>2220</v>
      </c>
      <c r="F20" s="3">
        <f>+H5/F17</f>
        <v>3.53677651315323</v>
      </c>
      <c r="G20" s="25" t="s">
        <v>893</v>
      </c>
    </row>
    <row r="21" spans="1:7" ht="15.75" customHeight="1">
      <c r="A21" s="125" t="s">
        <v>902</v>
      </c>
      <c r="B21" s="273"/>
      <c r="C21" s="22"/>
      <c r="D21" s="264"/>
      <c r="E21" s="264"/>
      <c r="F21" s="264"/>
      <c r="G21" s="264"/>
    </row>
    <row r="22" spans="1:7" ht="6" customHeight="1">
      <c r="A22" s="22"/>
      <c r="B22" s="264"/>
      <c r="C22" s="264"/>
      <c r="D22" s="264"/>
      <c r="E22" s="264"/>
      <c r="F22" s="264"/>
      <c r="G22" s="264"/>
    </row>
    <row r="23" spans="1:7" ht="15.75" customHeight="1">
      <c r="A23" s="4" t="s">
        <v>2221</v>
      </c>
      <c r="C23" s="19">
        <f>+(C19/E8)*F20^2/(2*$H$6)</f>
        <v>0.05200815766805563</v>
      </c>
      <c r="D23" s="264"/>
      <c r="E23" s="264"/>
      <c r="F23" s="264"/>
      <c r="G23" s="264"/>
    </row>
    <row r="24" spans="1:7" ht="6" customHeight="1">
      <c r="A24" s="264"/>
      <c r="B24" s="264"/>
      <c r="C24" s="264"/>
      <c r="D24" s="264"/>
      <c r="E24" s="264"/>
      <c r="F24" s="264"/>
      <c r="G24" s="264"/>
    </row>
    <row r="25" spans="1:7" ht="15.75" customHeight="1">
      <c r="A25" s="1" t="s">
        <v>2222</v>
      </c>
      <c r="B25" s="3">
        <f>+$C$23*E5</f>
        <v>0.5200815766805563</v>
      </c>
      <c r="C25" s="120" t="s">
        <v>699</v>
      </c>
      <c r="D25" s="1" t="s">
        <v>2223</v>
      </c>
      <c r="E25" s="3">
        <f>+$C$23*E6</f>
        <v>0.6240978920166675</v>
      </c>
      <c r="F25" s="120" t="s">
        <v>699</v>
      </c>
      <c r="G25" s="264"/>
    </row>
    <row r="26" spans="1:7" ht="6" customHeight="1">
      <c r="A26" s="264"/>
      <c r="B26" s="264"/>
      <c r="C26" s="264"/>
      <c r="D26" s="264"/>
      <c r="E26" s="264"/>
      <c r="F26" s="264"/>
      <c r="G26" s="264"/>
    </row>
    <row r="27" spans="1:7" ht="15.75" customHeight="1">
      <c r="A27" s="264"/>
      <c r="B27" s="264"/>
      <c r="C27" s="264"/>
      <c r="D27" s="2" t="s">
        <v>2224</v>
      </c>
      <c r="E27" s="3">
        <f>+F20^2/(2*$H$6)</f>
        <v>0.6378129769524944</v>
      </c>
      <c r="F27" s="120" t="s">
        <v>699</v>
      </c>
      <c r="G27" s="264"/>
    </row>
    <row r="28" spans="1:7" ht="6" customHeight="1">
      <c r="A28" s="264"/>
      <c r="B28" s="264"/>
      <c r="C28" s="264"/>
      <c r="D28" s="264"/>
      <c r="E28" s="264"/>
      <c r="F28" s="264"/>
      <c r="G28" s="264"/>
    </row>
    <row r="29" spans="1:7" ht="15.75" customHeight="1">
      <c r="A29" s="126" t="s">
        <v>2225</v>
      </c>
      <c r="B29" s="140"/>
      <c r="C29" s="140"/>
      <c r="D29" s="140"/>
      <c r="E29" s="140"/>
      <c r="F29" s="140"/>
      <c r="G29" s="140"/>
    </row>
    <row r="30" spans="1:7" ht="6" customHeight="1">
      <c r="A30" s="117"/>
      <c r="B30" s="140"/>
      <c r="C30" s="140"/>
      <c r="D30" s="140"/>
      <c r="E30" s="164"/>
      <c r="F30" s="140"/>
      <c r="G30" s="140"/>
    </row>
    <row r="31" spans="1:7" ht="15.75" customHeight="1">
      <c r="A31" s="181" t="s">
        <v>904</v>
      </c>
      <c r="B31" s="140"/>
      <c r="C31" s="140"/>
      <c r="D31" s="140"/>
      <c r="E31" s="164"/>
      <c r="F31" s="140"/>
      <c r="G31" s="140"/>
    </row>
    <row r="32" spans="1:7" ht="15.75" customHeight="1">
      <c r="A32" s="69" t="s">
        <v>905</v>
      </c>
      <c r="B32" s="140"/>
      <c r="C32" s="140"/>
      <c r="D32" s="140"/>
      <c r="E32" s="164"/>
      <c r="F32" s="140"/>
      <c r="G32" s="140"/>
    </row>
    <row r="33" spans="1:7" ht="6" customHeight="1">
      <c r="A33" s="181"/>
      <c r="B33" s="140"/>
      <c r="C33" s="140"/>
      <c r="D33" s="140"/>
      <c r="E33" s="140"/>
      <c r="F33" s="140"/>
      <c r="G33" s="140"/>
    </row>
    <row r="34" spans="1:7" ht="15.75" customHeight="1">
      <c r="A34" s="117" t="s">
        <v>906</v>
      </c>
      <c r="B34" s="140"/>
      <c r="C34" s="264"/>
      <c r="D34" s="68" t="s">
        <v>1915</v>
      </c>
      <c r="E34" s="301" t="s">
        <v>907</v>
      </c>
      <c r="F34" s="140"/>
      <c r="G34" s="140"/>
    </row>
    <row r="35" spans="1:7" ht="6" customHeight="1">
      <c r="A35" s="181"/>
      <c r="B35" s="140"/>
      <c r="C35" s="140"/>
      <c r="D35" s="140"/>
      <c r="E35" s="140"/>
      <c r="F35" s="140"/>
      <c r="G35" s="140"/>
    </row>
    <row r="36" spans="1:7" ht="15.75" customHeight="1">
      <c r="A36" s="69" t="s">
        <v>908</v>
      </c>
      <c r="B36" s="140"/>
      <c r="C36" s="140"/>
      <c r="D36" s="140"/>
      <c r="E36" s="140"/>
      <c r="F36" s="140"/>
      <c r="G36" s="140"/>
    </row>
    <row r="37" spans="1:7" ht="6" customHeight="1">
      <c r="A37" s="181"/>
      <c r="B37" s="140"/>
      <c r="C37" s="140"/>
      <c r="D37" s="140"/>
      <c r="E37" s="140"/>
      <c r="F37" s="140"/>
      <c r="G37" s="140"/>
    </row>
    <row r="38" spans="1:7" ht="15.75" customHeight="1">
      <c r="A38" s="302" t="s">
        <v>909</v>
      </c>
      <c r="B38" s="140"/>
      <c r="C38" s="140"/>
      <c r="D38" s="140"/>
      <c r="E38" s="140"/>
      <c r="F38" s="140"/>
      <c r="G38" s="140"/>
    </row>
    <row r="39" spans="1:7" ht="6" customHeight="1">
      <c r="A39" s="302"/>
      <c r="B39" s="140"/>
      <c r="C39" s="140"/>
      <c r="D39" s="140"/>
      <c r="E39" s="140"/>
      <c r="F39" s="140"/>
      <c r="G39" s="140"/>
    </row>
    <row r="40" spans="1:7" ht="15.75" customHeight="1">
      <c r="A40" s="68" t="s">
        <v>910</v>
      </c>
      <c r="B40" s="3">
        <f>+F17*E6</f>
        <v>0.8482300164692442</v>
      </c>
      <c r="C40" s="120" t="s">
        <v>109</v>
      </c>
      <c r="D40" s="68" t="s">
        <v>911</v>
      </c>
      <c r="E40" s="124">
        <f>+B8*B40</f>
        <v>5655.99774981692</v>
      </c>
      <c r="F40" s="69" t="s">
        <v>704</v>
      </c>
      <c r="G40" s="140"/>
    </row>
    <row r="41" spans="1:7" ht="6" customHeight="1">
      <c r="A41" s="264"/>
      <c r="B41" s="264"/>
      <c r="C41" s="264"/>
      <c r="D41" s="264"/>
      <c r="E41" s="140"/>
      <c r="F41" s="140"/>
      <c r="G41" s="140"/>
    </row>
    <row r="42" spans="1:7" ht="15.75" customHeight="1">
      <c r="A42" s="264"/>
      <c r="B42" s="264"/>
      <c r="C42" s="264"/>
      <c r="D42" s="303" t="s">
        <v>912</v>
      </c>
      <c r="E42" s="140"/>
      <c r="F42" s="140"/>
      <c r="G42" s="140"/>
    </row>
    <row r="43" spans="1:7" ht="15.75" customHeight="1">
      <c r="A43" s="163"/>
      <c r="B43" s="140"/>
      <c r="C43" s="69"/>
      <c r="D43" s="304" t="s">
        <v>913</v>
      </c>
      <c r="E43" s="140"/>
      <c r="F43" s="140"/>
      <c r="G43" s="140"/>
    </row>
    <row r="44" spans="1:7" ht="6" customHeight="1">
      <c r="A44" s="163"/>
      <c r="B44" s="140"/>
      <c r="C44" s="69"/>
      <c r="D44" s="69"/>
      <c r="E44" s="140"/>
      <c r="F44" s="140"/>
      <c r="G44" s="140"/>
    </row>
    <row r="45" spans="1:7" ht="15.75" customHeight="1">
      <c r="A45" s="126" t="s">
        <v>914</v>
      </c>
      <c r="B45" s="140"/>
      <c r="C45" s="69"/>
      <c r="D45" s="69"/>
      <c r="E45" s="140"/>
      <c r="F45" s="140"/>
      <c r="G45" s="140"/>
    </row>
    <row r="46" spans="1:7" ht="6" customHeight="1">
      <c r="A46" s="163"/>
      <c r="B46" s="140"/>
      <c r="C46" s="69"/>
      <c r="D46" s="69"/>
      <c r="E46" s="140"/>
      <c r="F46" s="140"/>
      <c r="G46" s="140"/>
    </row>
    <row r="47" spans="1:7" ht="15.75" customHeight="1">
      <c r="A47" s="66" t="s">
        <v>915</v>
      </c>
      <c r="B47" s="140"/>
      <c r="C47" s="106">
        <f>+B5-B25-E27-B6</f>
        <v>43.84210544636695</v>
      </c>
      <c r="D47" s="69" t="s">
        <v>699</v>
      </c>
      <c r="F47" s="140"/>
      <c r="G47" s="140"/>
    </row>
    <row r="48" spans="1:7" ht="6" customHeight="1">
      <c r="A48" s="66"/>
      <c r="B48" s="140"/>
      <c r="C48" s="106"/>
      <c r="D48" s="69"/>
      <c r="E48" s="140"/>
      <c r="F48" s="140"/>
      <c r="G48" s="140"/>
    </row>
    <row r="49" spans="1:7" ht="15.75" customHeight="1">
      <c r="A49" s="107" t="s">
        <v>916</v>
      </c>
      <c r="B49" s="305">
        <f>+B8*C47*F17</f>
        <v>20664.23747932397</v>
      </c>
      <c r="C49" s="69" t="s">
        <v>704</v>
      </c>
      <c r="D49" s="69" t="s">
        <v>917</v>
      </c>
      <c r="E49" s="140"/>
      <c r="F49" s="140"/>
      <c r="G49" s="140"/>
    </row>
    <row r="50" spans="1:7" ht="15.75" customHeight="1">
      <c r="A50" s="107"/>
      <c r="B50" s="124"/>
      <c r="C50" s="69"/>
      <c r="D50" s="69" t="s">
        <v>918</v>
      </c>
      <c r="E50" s="140"/>
      <c r="F50" s="140"/>
      <c r="G50" s="140"/>
    </row>
    <row r="51" spans="1:7" ht="15.75" customHeight="1">
      <c r="A51" s="107"/>
      <c r="B51" s="124"/>
      <c r="C51" s="69"/>
      <c r="D51" s="69" t="s">
        <v>919</v>
      </c>
      <c r="E51" s="140"/>
      <c r="F51" s="140"/>
      <c r="G51" s="140"/>
    </row>
    <row r="52" spans="1:7" ht="6" customHeight="1">
      <c r="A52" s="107"/>
      <c r="B52" s="124"/>
      <c r="C52" s="69"/>
      <c r="D52" s="181"/>
      <c r="E52" s="140"/>
      <c r="F52" s="140"/>
      <c r="G52" s="140"/>
    </row>
    <row r="53" spans="1:7" ht="15.75" customHeight="1">
      <c r="A53" s="126" t="s">
        <v>920</v>
      </c>
      <c r="B53" s="124"/>
      <c r="C53" s="69"/>
      <c r="D53" s="181"/>
      <c r="E53" s="140"/>
      <c r="F53" s="140"/>
      <c r="G53" s="306"/>
    </row>
    <row r="54" spans="1:7" ht="6" customHeight="1">
      <c r="A54" s="107"/>
      <c r="B54" s="124"/>
      <c r="C54" s="69"/>
      <c r="D54" s="181"/>
      <c r="E54" s="140"/>
      <c r="F54" s="140"/>
      <c r="G54" s="140"/>
    </row>
    <row r="55" spans="1:7" ht="15.75" customHeight="1">
      <c r="A55" s="68" t="s">
        <v>921</v>
      </c>
      <c r="B55" s="124">
        <f>+(B8/H6)*H5*F20</f>
        <v>601.2447937412231</v>
      </c>
      <c r="C55" s="69" t="s">
        <v>704</v>
      </c>
      <c r="D55" s="69" t="s">
        <v>922</v>
      </c>
      <c r="E55" s="140"/>
      <c r="F55" s="140"/>
      <c r="G55" s="140"/>
    </row>
    <row r="56" spans="1:7" ht="15.75" customHeight="1">
      <c r="A56" s="68"/>
      <c r="B56" s="124"/>
      <c r="C56" s="69"/>
      <c r="D56" s="69" t="s">
        <v>923</v>
      </c>
      <c r="E56" s="140"/>
      <c r="F56" s="140"/>
      <c r="G56" s="140"/>
    </row>
    <row r="57" spans="1:7" ht="6" customHeight="1">
      <c r="A57" s="140"/>
      <c r="B57" s="140"/>
      <c r="C57" s="140"/>
      <c r="D57" s="140"/>
      <c r="E57" s="140"/>
      <c r="F57" s="140"/>
      <c r="G57" s="140"/>
    </row>
    <row r="58" spans="1:7" ht="15.75" customHeight="1">
      <c r="A58" s="126" t="s">
        <v>924</v>
      </c>
      <c r="B58" s="140"/>
      <c r="C58" s="140"/>
      <c r="D58" s="140"/>
      <c r="E58" s="140"/>
      <c r="F58" s="140"/>
      <c r="G58" s="140"/>
    </row>
    <row r="59" spans="1:7" ht="6" customHeight="1">
      <c r="A59" s="140"/>
      <c r="B59" s="140"/>
      <c r="C59" s="140"/>
      <c r="D59" s="140"/>
      <c r="E59" s="140"/>
      <c r="F59" s="140"/>
      <c r="G59" s="140"/>
    </row>
    <row r="60" spans="1:7" ht="15.75" customHeight="1">
      <c r="A60" s="66" t="s">
        <v>925</v>
      </c>
      <c r="B60" s="264"/>
      <c r="D60" s="106">
        <f>+B5-B25-E25-E27-B7</f>
        <v>43.21800755435029</v>
      </c>
      <c r="E60" s="69" t="s">
        <v>699</v>
      </c>
      <c r="F60" s="69"/>
      <c r="G60" s="140"/>
    </row>
    <row r="61" spans="1:7" ht="6" customHeight="1">
      <c r="A61" s="69"/>
      <c r="B61" s="140"/>
      <c r="C61" s="140"/>
      <c r="D61" s="140"/>
      <c r="E61" s="106"/>
      <c r="F61" s="69"/>
      <c r="G61" s="140"/>
    </row>
    <row r="62" spans="1:7" ht="15.75" customHeight="1">
      <c r="A62" s="107" t="s">
        <v>926</v>
      </c>
      <c r="B62" s="305">
        <f>+B8*D60*F17</f>
        <v>20370.079456581323</v>
      </c>
      <c r="C62" s="69" t="s">
        <v>704</v>
      </c>
      <c r="D62" s="69" t="s">
        <v>917</v>
      </c>
      <c r="E62" s="140"/>
      <c r="F62" s="140"/>
      <c r="G62" s="140"/>
    </row>
    <row r="63" spans="1:7" ht="15.75" customHeight="1">
      <c r="A63" s="107"/>
      <c r="B63" s="124"/>
      <c r="C63" s="69"/>
      <c r="D63" s="69" t="s">
        <v>918</v>
      </c>
      <c r="E63" s="140"/>
      <c r="F63" s="140"/>
      <c r="G63" s="140"/>
    </row>
    <row r="64" spans="1:7" ht="15.75" customHeight="1">
      <c r="A64" s="107"/>
      <c r="B64" s="124"/>
      <c r="C64" s="69"/>
      <c r="D64" s="69" t="s">
        <v>927</v>
      </c>
      <c r="E64" s="140"/>
      <c r="F64" s="140"/>
      <c r="G64" s="140"/>
    </row>
    <row r="65" spans="1:7" ht="6" customHeight="1">
      <c r="A65" s="107"/>
      <c r="B65" s="124"/>
      <c r="C65" s="69"/>
      <c r="D65" s="181"/>
      <c r="E65" s="140"/>
      <c r="F65" s="140"/>
      <c r="G65" s="140"/>
    </row>
    <row r="66" spans="1:7" ht="15.75" customHeight="1">
      <c r="A66" s="126" t="s">
        <v>928</v>
      </c>
      <c r="B66" s="124"/>
      <c r="C66" s="69"/>
      <c r="D66" s="181"/>
      <c r="E66" s="140"/>
      <c r="F66" s="140"/>
      <c r="G66" s="140"/>
    </row>
    <row r="67" spans="1:7" ht="6" customHeight="1">
      <c r="A67" s="107"/>
      <c r="B67" s="124"/>
      <c r="C67" s="69"/>
      <c r="D67" s="140"/>
      <c r="E67" s="140"/>
      <c r="F67" s="140"/>
      <c r="G67" s="140"/>
    </row>
    <row r="68" spans="1:7" ht="15.75" customHeight="1">
      <c r="A68" s="68" t="s">
        <v>929</v>
      </c>
      <c r="B68" s="124">
        <f>+(B8/H6)*H5*F20</f>
        <v>601.2447937412231</v>
      </c>
      <c r="C68" s="69" t="s">
        <v>704</v>
      </c>
      <c r="D68" s="69" t="s">
        <v>922</v>
      </c>
      <c r="E68" s="140"/>
      <c r="F68" s="140"/>
      <c r="G68" s="140"/>
    </row>
    <row r="69" spans="1:7" ht="15.75" customHeight="1">
      <c r="A69" s="140"/>
      <c r="B69" s="140"/>
      <c r="C69" s="140"/>
      <c r="D69" s="69" t="s">
        <v>930</v>
      </c>
      <c r="E69" s="140"/>
      <c r="F69" s="140"/>
      <c r="G69" s="140"/>
    </row>
    <row r="70" spans="1:7" ht="6" customHeight="1">
      <c r="A70" s="140"/>
      <c r="B70" s="140"/>
      <c r="C70" s="140"/>
      <c r="D70" s="181"/>
      <c r="E70" s="140"/>
      <c r="F70" s="140"/>
      <c r="G70" s="140"/>
    </row>
    <row r="71" spans="1:7" ht="15.75" customHeight="1">
      <c r="A71" s="69" t="s">
        <v>931</v>
      </c>
      <c r="B71" s="124"/>
      <c r="C71" s="69"/>
      <c r="D71" s="181"/>
      <c r="E71" s="140"/>
      <c r="F71" s="140"/>
      <c r="G71" s="140"/>
    </row>
    <row r="72" spans="1:7" ht="6" customHeight="1">
      <c r="A72" s="140"/>
      <c r="B72" s="140"/>
      <c r="C72" s="140"/>
      <c r="D72" s="140"/>
      <c r="E72" s="140"/>
      <c r="F72" s="140"/>
      <c r="G72" s="140"/>
    </row>
    <row r="73" spans="1:7" ht="15.75" customHeight="1">
      <c r="A73" s="140"/>
      <c r="B73" s="161" t="s">
        <v>932</v>
      </c>
      <c r="C73" s="268"/>
      <c r="D73" s="187"/>
      <c r="E73" s="74"/>
      <c r="F73" s="276">
        <f>+(B49+B55)*COS(RADIANS(H7))-(B62+B68)*COS(RADIANS(H7))</f>
        <v>289.68910140770095</v>
      </c>
      <c r="G73" s="161" t="s">
        <v>704</v>
      </c>
    </row>
    <row r="74" spans="1:7" ht="6" customHeight="1">
      <c r="A74" s="140"/>
      <c r="B74" s="140"/>
      <c r="C74" s="69"/>
      <c r="D74" s="140"/>
      <c r="E74" s="307"/>
      <c r="F74" s="124"/>
      <c r="G74" s="69"/>
    </row>
    <row r="75" spans="1:7" ht="15.75" customHeight="1">
      <c r="A75" s="69" t="s">
        <v>933</v>
      </c>
      <c r="B75" s="140"/>
      <c r="D75" s="295"/>
      <c r="E75" s="69"/>
      <c r="F75" s="140"/>
      <c r="G75" s="140"/>
    </row>
    <row r="76" spans="1:7" ht="6" customHeight="1">
      <c r="A76" s="140"/>
      <c r="B76" s="140"/>
      <c r="C76" s="140"/>
      <c r="D76" s="140"/>
      <c r="E76" s="140"/>
      <c r="F76" s="69"/>
      <c r="G76" s="69"/>
    </row>
    <row r="77" spans="1:7" ht="15.75" customHeight="1">
      <c r="A77" s="140"/>
      <c r="B77" s="154" t="s">
        <v>934</v>
      </c>
      <c r="C77" s="268"/>
      <c r="D77" s="268"/>
      <c r="E77" s="74"/>
      <c r="F77" s="276">
        <f>-E40+(B49+B55+B62+B68)*SIN(RADIANS(H7))</f>
        <v>1678.3467334400757</v>
      </c>
      <c r="G77" s="161" t="s">
        <v>704</v>
      </c>
    </row>
    <row r="78" spans="1:7" ht="6" customHeight="1">
      <c r="A78" s="140"/>
      <c r="B78" s="140"/>
      <c r="C78" s="69"/>
      <c r="D78" s="295"/>
      <c r="E78" s="69"/>
      <c r="F78" s="181"/>
      <c r="G78" s="140"/>
    </row>
    <row r="79" spans="1:7" ht="15.75" customHeight="1">
      <c r="A79" s="69" t="s">
        <v>935</v>
      </c>
      <c r="B79" s="140"/>
      <c r="D79" s="140"/>
      <c r="E79" s="140"/>
      <c r="F79" s="181"/>
      <c r="G79" s="140"/>
    </row>
    <row r="80" spans="1:7" ht="15.75" customHeight="1">
      <c r="A80" s="69" t="s">
        <v>936</v>
      </c>
      <c r="B80" s="140"/>
      <c r="D80" s="140"/>
      <c r="E80" s="140"/>
      <c r="F80" s="181"/>
      <c r="G80" s="140"/>
    </row>
    <row r="81" spans="1:7" ht="6" customHeight="1">
      <c r="A81" s="140"/>
      <c r="B81" s="140"/>
      <c r="C81" s="181"/>
      <c r="D81" s="140"/>
      <c r="E81" s="140"/>
      <c r="F81" s="181"/>
      <c r="G81" s="140"/>
    </row>
    <row r="82" spans="1:7" ht="15.75" customHeight="1">
      <c r="A82" s="159" t="s">
        <v>937</v>
      </c>
      <c r="B82" s="276">
        <f>+SQRT(ABS(F73)^2+ABS(F77)^2)</f>
        <v>1703.1639771681919</v>
      </c>
      <c r="C82" s="161" t="s">
        <v>704</v>
      </c>
      <c r="D82" s="140"/>
      <c r="E82" s="140"/>
      <c r="F82" s="181"/>
      <c r="G82" s="140"/>
    </row>
    <row r="83" spans="1:7" ht="6" customHeight="1">
      <c r="A83" s="264"/>
      <c r="B83" s="264"/>
      <c r="C83" s="264"/>
      <c r="D83" s="264"/>
      <c r="E83" s="264"/>
      <c r="F83" s="264"/>
      <c r="G83" s="264"/>
    </row>
    <row r="84" spans="1:9" ht="6" customHeight="1">
      <c r="A84" s="281"/>
      <c r="B84" s="281"/>
      <c r="C84" s="281"/>
      <c r="D84" s="281"/>
      <c r="E84" s="281"/>
      <c r="F84" s="281"/>
      <c r="G84" s="281"/>
      <c r="H84" s="131"/>
      <c r="I84" s="131"/>
    </row>
    <row r="85" ht="6" customHeight="1"/>
    <row r="86" ht="15.75" customHeight="1">
      <c r="A86" s="85" t="s">
        <v>938</v>
      </c>
    </row>
    <row r="87" ht="6" customHeight="1">
      <c r="A87" s="1"/>
    </row>
    <row r="88" ht="15.75" customHeight="1">
      <c r="A88" s="5" t="s">
        <v>112</v>
      </c>
    </row>
    <row r="89" ht="6" customHeight="1"/>
    <row r="90" spans="1:9" ht="15.75" customHeight="1">
      <c r="A90" s="1" t="s">
        <v>2025</v>
      </c>
      <c r="B90" s="3">
        <v>45</v>
      </c>
      <c r="C90" s="22" t="s">
        <v>699</v>
      </c>
      <c r="D90" s="1" t="s">
        <v>892</v>
      </c>
      <c r="E90" s="3">
        <v>20</v>
      </c>
      <c r="F90" s="4" t="s">
        <v>699</v>
      </c>
      <c r="G90" s="2" t="s">
        <v>939</v>
      </c>
      <c r="H90" s="215">
        <f>1*0.001</f>
        <v>0.001</v>
      </c>
      <c r="I90" s="4" t="s">
        <v>699</v>
      </c>
    </row>
    <row r="91" spans="1:9" ht="15.75" customHeight="1">
      <c r="A91" s="1" t="s">
        <v>2453</v>
      </c>
      <c r="B91" s="3">
        <v>20</v>
      </c>
      <c r="C91" s="22" t="s">
        <v>699</v>
      </c>
      <c r="D91" s="1" t="s">
        <v>894</v>
      </c>
      <c r="E91" s="3">
        <v>3</v>
      </c>
      <c r="F91" s="4" t="s">
        <v>699</v>
      </c>
      <c r="G91" s="2" t="s">
        <v>940</v>
      </c>
      <c r="H91" s="215">
        <f>0.5*0.001</f>
        <v>0.0005</v>
      </c>
      <c r="I91" s="4" t="s">
        <v>699</v>
      </c>
    </row>
    <row r="92" spans="1:9" ht="15.75" customHeight="1">
      <c r="A92" s="1" t="s">
        <v>2373</v>
      </c>
      <c r="B92" s="3">
        <v>0.3</v>
      </c>
      <c r="C92" s="300" t="s">
        <v>2374</v>
      </c>
      <c r="D92" s="1" t="s">
        <v>1175</v>
      </c>
      <c r="E92" s="3">
        <v>7</v>
      </c>
      <c r="F92" s="4" t="s">
        <v>699</v>
      </c>
      <c r="G92" s="2" t="s">
        <v>2455</v>
      </c>
      <c r="H92" s="6">
        <v>20</v>
      </c>
      <c r="I92" s="22" t="s">
        <v>706</v>
      </c>
    </row>
    <row r="93" spans="1:8" ht="15.75" customHeight="1">
      <c r="A93" s="2" t="s">
        <v>525</v>
      </c>
      <c r="B93" s="68">
        <v>7845</v>
      </c>
      <c r="C93" s="25" t="s">
        <v>713</v>
      </c>
      <c r="D93" s="1" t="s">
        <v>2160</v>
      </c>
      <c r="E93" s="3">
        <v>7</v>
      </c>
      <c r="F93" s="4" t="s">
        <v>699</v>
      </c>
      <c r="G93" s="2" t="s">
        <v>705</v>
      </c>
      <c r="H93" s="6">
        <v>1</v>
      </c>
    </row>
    <row r="94" spans="1:8" ht="15.75" customHeight="1">
      <c r="A94" s="2" t="s">
        <v>528</v>
      </c>
      <c r="B94" s="166">
        <v>2.3E-06</v>
      </c>
      <c r="C94" s="25" t="s">
        <v>893</v>
      </c>
      <c r="D94" s="1" t="s">
        <v>2515</v>
      </c>
      <c r="E94" s="3">
        <v>0.35</v>
      </c>
      <c r="F94" s="4" t="s">
        <v>699</v>
      </c>
      <c r="G94" s="107" t="s">
        <v>2457</v>
      </c>
      <c r="H94" s="68">
        <v>1</v>
      </c>
    </row>
    <row r="95" spans="1:6" ht="15.75" customHeight="1">
      <c r="A95" s="1" t="s">
        <v>1017</v>
      </c>
      <c r="B95" s="1">
        <v>9.806</v>
      </c>
      <c r="C95" s="25" t="s">
        <v>1018</v>
      </c>
      <c r="D95" s="1" t="s">
        <v>2516</v>
      </c>
      <c r="E95" s="3">
        <v>0.3</v>
      </c>
      <c r="F95" s="4" t="s">
        <v>699</v>
      </c>
    </row>
    <row r="96" ht="6" customHeight="1">
      <c r="G96" s="2"/>
    </row>
    <row r="97" spans="1:7" ht="15.75" customHeight="1">
      <c r="A97" s="5" t="s">
        <v>941</v>
      </c>
      <c r="D97" s="2"/>
      <c r="E97" s="215"/>
      <c r="F97" s="4"/>
      <c r="G97" s="2"/>
    </row>
    <row r="98" spans="1:7" ht="6" customHeight="1">
      <c r="A98" s="264"/>
      <c r="B98" s="264"/>
      <c r="C98" s="264"/>
      <c r="D98" s="264"/>
      <c r="E98" s="264"/>
      <c r="F98" s="264"/>
      <c r="G98" s="264"/>
    </row>
    <row r="99" spans="1:7" ht="15.75" customHeight="1">
      <c r="A99" s="5" t="s">
        <v>113</v>
      </c>
      <c r="B99" s="264"/>
      <c r="C99" s="264"/>
      <c r="D99" s="264"/>
      <c r="E99" s="264"/>
      <c r="F99" s="264"/>
      <c r="G99" s="264"/>
    </row>
    <row r="100" spans="1:7" ht="6" customHeight="1">
      <c r="A100" s="264"/>
      <c r="B100" s="264"/>
      <c r="C100" s="264"/>
      <c r="D100" s="264"/>
      <c r="E100" s="264"/>
      <c r="F100" s="264"/>
      <c r="G100" s="264"/>
    </row>
    <row r="101" spans="1:7" ht="15.75" customHeight="1">
      <c r="A101" s="265" t="s">
        <v>2216</v>
      </c>
      <c r="B101" s="264"/>
      <c r="C101" s="264"/>
      <c r="D101" s="264"/>
      <c r="E101" s="264"/>
      <c r="F101" s="264"/>
      <c r="G101" s="264"/>
    </row>
    <row r="102" spans="1:7" ht="6" customHeight="1">
      <c r="A102" s="264"/>
      <c r="B102" s="264"/>
      <c r="C102" s="264"/>
      <c r="D102" s="264"/>
      <c r="E102" s="264"/>
      <c r="F102" s="264"/>
      <c r="G102" s="264"/>
    </row>
    <row r="103" spans="1:9" ht="15.75" customHeight="1">
      <c r="A103" s="4" t="s">
        <v>942</v>
      </c>
      <c r="C103" s="3">
        <f>+PI()*E94^2/4</f>
        <v>0.0962112750161874</v>
      </c>
      <c r="D103" s="28" t="s">
        <v>108</v>
      </c>
      <c r="F103" s="4" t="s">
        <v>943</v>
      </c>
      <c r="H103" s="3">
        <f>+PI()*E95^2/4</f>
        <v>0.07068583470577035</v>
      </c>
      <c r="I103" s="28" t="s">
        <v>108</v>
      </c>
    </row>
    <row r="104" spans="2:9" ht="15.75" customHeight="1">
      <c r="B104" s="1" t="s">
        <v>944</v>
      </c>
      <c r="C104" s="3">
        <f>+B92/C103</f>
        <v>3.118137660575909</v>
      </c>
      <c r="D104" s="25" t="s">
        <v>893</v>
      </c>
      <c r="G104" s="1" t="s">
        <v>945</v>
      </c>
      <c r="H104" s="3">
        <f>+B92/H103</f>
        <v>4.244131815783875</v>
      </c>
      <c r="I104" s="25" t="s">
        <v>893</v>
      </c>
    </row>
    <row r="105" spans="1:9" ht="15.75" customHeight="1">
      <c r="A105" s="4" t="s">
        <v>946</v>
      </c>
      <c r="C105" s="273">
        <f>C104*E94/B94</f>
        <v>474499.2092180731</v>
      </c>
      <c r="D105" s="264"/>
      <c r="F105" s="4" t="s">
        <v>947</v>
      </c>
      <c r="H105" s="273">
        <f>H104*E95/B94</f>
        <v>553582.4107544185</v>
      </c>
      <c r="I105" s="264"/>
    </row>
    <row r="106" spans="2:9" ht="15.75" customHeight="1">
      <c r="B106" s="2" t="s">
        <v>1487</v>
      </c>
      <c r="C106" s="3">
        <f>H90/E95</f>
        <v>0.0033333333333333335</v>
      </c>
      <c r="D106" s="264"/>
      <c r="G106" s="2" t="s">
        <v>1488</v>
      </c>
      <c r="H106" s="3">
        <f>+H91/E95</f>
        <v>0.0016666666666666668</v>
      </c>
      <c r="I106" s="264"/>
    </row>
    <row r="107" spans="2:9" ht="15.75" customHeight="1">
      <c r="B107" s="2" t="s">
        <v>1489</v>
      </c>
      <c r="C107" s="19">
        <v>0.02720869152574401</v>
      </c>
      <c r="D107" s="84" t="s">
        <v>55</v>
      </c>
      <c r="G107" s="2" t="s">
        <v>1491</v>
      </c>
      <c r="H107" s="19">
        <v>0.022689803926688623</v>
      </c>
      <c r="I107" s="84" t="s">
        <v>55</v>
      </c>
    </row>
    <row r="108" spans="1:8" ht="15.75" customHeight="1">
      <c r="A108" s="125" t="s">
        <v>2147</v>
      </c>
      <c r="C108" s="273">
        <f>1/SQRT(C107)+2*LOG10(2.51/(C105*SQRT(C107))+C106/3.71)</f>
        <v>-0.00010638123943440547</v>
      </c>
      <c r="F108" s="125" t="s">
        <v>2249</v>
      </c>
      <c r="H108" s="273">
        <f>1/SQRT(H107)+2*LOG10(2.51/(H105*SQRT(H107))+H106/3.71)</f>
        <v>6.0663188579113125E-06</v>
      </c>
    </row>
    <row r="109" spans="1:8" ht="15.75" customHeight="1">
      <c r="A109" s="125" t="s">
        <v>902</v>
      </c>
      <c r="C109" s="273"/>
      <c r="D109" s="22"/>
      <c r="F109" s="125" t="s">
        <v>902</v>
      </c>
      <c r="G109" s="264"/>
      <c r="H109" s="264"/>
    </row>
    <row r="110" spans="1:7" ht="6" customHeight="1">
      <c r="A110" s="125"/>
      <c r="B110" s="273"/>
      <c r="C110" s="22"/>
      <c r="D110" s="125"/>
      <c r="E110" s="264"/>
      <c r="F110" s="264"/>
      <c r="G110" s="264"/>
    </row>
    <row r="111" spans="1:8" ht="15.75" customHeight="1">
      <c r="A111" s="4" t="s">
        <v>948</v>
      </c>
      <c r="C111" s="19">
        <f>+(C107/E94)*C104^2/(2*B95)</f>
        <v>0.03853969712513522</v>
      </c>
      <c r="F111" s="4" t="s">
        <v>949</v>
      </c>
      <c r="G111" s="264"/>
      <c r="H111" s="19">
        <f>+(H107/E95)*H104^2/(2*B95)</f>
        <v>0.0694648866669584</v>
      </c>
    </row>
    <row r="112" spans="1:7" ht="6" customHeight="1">
      <c r="A112" s="1"/>
      <c r="B112" s="19"/>
      <c r="C112" s="22"/>
      <c r="D112" s="264"/>
      <c r="E112" s="1"/>
      <c r="F112" s="19"/>
      <c r="G112" s="264"/>
    </row>
    <row r="113" spans="1:7" ht="15.75" customHeight="1">
      <c r="A113" s="1" t="s">
        <v>1344</v>
      </c>
      <c r="B113" s="3">
        <f>+$H$111*E91</f>
        <v>0.2083946600008752</v>
      </c>
      <c r="C113" s="120" t="s">
        <v>699</v>
      </c>
      <c r="E113" s="1" t="s">
        <v>950</v>
      </c>
      <c r="F113" s="3">
        <f>+$H$111*E92</f>
        <v>0.4862542066687088</v>
      </c>
      <c r="G113" s="120" t="s">
        <v>699</v>
      </c>
    </row>
    <row r="114" spans="1:7" ht="6" customHeight="1">
      <c r="A114" s="1"/>
      <c r="B114" s="264"/>
      <c r="C114" s="264"/>
      <c r="D114" s="264"/>
      <c r="E114" s="264"/>
      <c r="F114" s="264"/>
      <c r="G114" s="264"/>
    </row>
    <row r="115" spans="1:7" ht="15.75" customHeight="1">
      <c r="A115" s="1" t="s">
        <v>951</v>
      </c>
      <c r="B115" s="3">
        <f>+$H$111*E93</f>
        <v>0.4862542066687088</v>
      </c>
      <c r="C115" s="120" t="s">
        <v>699</v>
      </c>
      <c r="E115" s="2" t="s">
        <v>1370</v>
      </c>
      <c r="F115" s="3">
        <f>+C104^2/(2*B95)</f>
        <v>0.495756805542617</v>
      </c>
      <c r="G115" s="120" t="s">
        <v>699</v>
      </c>
    </row>
    <row r="116" spans="1:7" ht="6" customHeight="1">
      <c r="A116" s="264"/>
      <c r="B116" s="264"/>
      <c r="C116" s="264"/>
      <c r="D116" s="264"/>
      <c r="E116" s="264"/>
      <c r="F116" s="264"/>
      <c r="G116" s="264"/>
    </row>
    <row r="117" spans="1:7" ht="15.75" customHeight="1">
      <c r="A117" s="126" t="s">
        <v>952</v>
      </c>
      <c r="B117" s="140"/>
      <c r="C117" s="140"/>
      <c r="D117" s="140"/>
      <c r="E117" s="140"/>
      <c r="F117" s="140"/>
      <c r="G117" s="140"/>
    </row>
    <row r="118" spans="1:7" ht="15.75" customHeight="1">
      <c r="A118" s="117"/>
      <c r="B118" s="140"/>
      <c r="C118" s="140"/>
      <c r="D118" s="140"/>
      <c r="E118" s="164"/>
      <c r="F118" s="140"/>
      <c r="G118" s="140"/>
    </row>
    <row r="119" spans="1:7" ht="15.75" customHeight="1">
      <c r="A119" s="69" t="s">
        <v>953</v>
      </c>
      <c r="B119" s="140"/>
      <c r="C119" s="140"/>
      <c r="D119" s="140"/>
      <c r="E119" s="164"/>
      <c r="F119" s="140"/>
      <c r="G119" s="140"/>
    </row>
    <row r="120" spans="1:7" ht="15.75" customHeight="1">
      <c r="A120" s="69" t="s">
        <v>954</v>
      </c>
      <c r="B120" s="140"/>
      <c r="C120" s="140"/>
      <c r="D120" s="140"/>
      <c r="E120" s="140"/>
      <c r="F120" s="140"/>
      <c r="G120" s="140"/>
    </row>
    <row r="121" spans="1:7" ht="6" customHeight="1">
      <c r="A121" s="69"/>
      <c r="B121" s="140"/>
      <c r="C121" s="140"/>
      <c r="D121" s="140"/>
      <c r="E121" s="140"/>
      <c r="F121" s="140"/>
      <c r="G121" s="140"/>
    </row>
    <row r="122" spans="1:7" ht="15.75" customHeight="1">
      <c r="A122" s="117" t="s">
        <v>955</v>
      </c>
      <c r="B122" s="140"/>
      <c r="C122" s="264"/>
      <c r="E122" s="68" t="s">
        <v>1915</v>
      </c>
      <c r="F122" s="301" t="s">
        <v>907</v>
      </c>
      <c r="G122" s="140"/>
    </row>
    <row r="123" spans="1:7" ht="6" customHeight="1">
      <c r="A123" s="181"/>
      <c r="B123" s="140"/>
      <c r="C123" s="140"/>
      <c r="D123" s="140"/>
      <c r="E123" s="140"/>
      <c r="F123" s="140"/>
      <c r="G123" s="140"/>
    </row>
    <row r="124" spans="1:7" ht="15.75" customHeight="1">
      <c r="A124" s="69" t="s">
        <v>908</v>
      </c>
      <c r="B124" s="140"/>
      <c r="C124" s="140"/>
      <c r="D124" s="140"/>
      <c r="E124" s="140"/>
      <c r="F124" s="140"/>
      <c r="G124" s="140"/>
    </row>
    <row r="125" spans="1:7" ht="6" customHeight="1">
      <c r="A125" s="181"/>
      <c r="B125" s="140"/>
      <c r="C125" s="140"/>
      <c r="D125" s="140"/>
      <c r="E125" s="140"/>
      <c r="F125" s="140"/>
      <c r="G125" s="140"/>
    </row>
    <row r="126" spans="1:7" ht="15.75" customHeight="1">
      <c r="A126" s="302" t="s">
        <v>909</v>
      </c>
      <c r="B126" s="140"/>
      <c r="C126" s="140"/>
      <c r="D126" s="140"/>
      <c r="E126" s="140"/>
      <c r="F126" s="140"/>
      <c r="G126" s="140"/>
    </row>
    <row r="127" spans="1:7" ht="6" customHeight="1">
      <c r="A127" s="302"/>
      <c r="B127" s="140"/>
      <c r="C127" s="140"/>
      <c r="D127" s="140"/>
      <c r="E127" s="140"/>
      <c r="F127" s="140"/>
      <c r="G127" s="140"/>
    </row>
    <row r="128" spans="1:7" ht="15.75" customHeight="1">
      <c r="A128" s="68" t="s">
        <v>956</v>
      </c>
      <c r="B128" s="3">
        <f>+H104*E92</f>
        <v>29.70892271048713</v>
      </c>
      <c r="C128" s="120" t="s">
        <v>109</v>
      </c>
      <c r="D128" s="68" t="s">
        <v>911</v>
      </c>
      <c r="E128" s="124">
        <f>+B93*B128</f>
        <v>233066.49866377152</v>
      </c>
      <c r="F128" s="69" t="s">
        <v>704</v>
      </c>
      <c r="G128" s="140"/>
    </row>
    <row r="129" spans="1:7" ht="6" customHeight="1">
      <c r="A129" s="264"/>
      <c r="B129" s="264"/>
      <c r="C129" s="264"/>
      <c r="D129" s="264"/>
      <c r="E129" s="140"/>
      <c r="F129" s="140"/>
      <c r="G129" s="140"/>
    </row>
    <row r="130" spans="1:7" ht="15.75" customHeight="1">
      <c r="A130" s="264"/>
      <c r="B130" s="264"/>
      <c r="C130" s="264"/>
      <c r="D130" s="303" t="s">
        <v>912</v>
      </c>
      <c r="E130" s="140"/>
      <c r="F130" s="140"/>
      <c r="G130" s="140"/>
    </row>
    <row r="131" spans="1:7" ht="15.75" customHeight="1">
      <c r="A131" s="163"/>
      <c r="B131" s="140"/>
      <c r="C131" s="69"/>
      <c r="D131" s="304" t="s">
        <v>913</v>
      </c>
      <c r="E131" s="140"/>
      <c r="F131" s="140"/>
      <c r="G131" s="140"/>
    </row>
    <row r="132" spans="1:7" ht="6" customHeight="1">
      <c r="A132" s="163"/>
      <c r="B132" s="140"/>
      <c r="C132" s="69"/>
      <c r="D132" s="69"/>
      <c r="E132" s="140"/>
      <c r="F132" s="140"/>
      <c r="G132" s="140"/>
    </row>
    <row r="133" spans="1:7" ht="15.75" customHeight="1">
      <c r="A133" s="126" t="s">
        <v>924</v>
      </c>
      <c r="B133" s="140"/>
      <c r="C133" s="69"/>
      <c r="D133" s="69"/>
      <c r="E133" s="140"/>
      <c r="F133" s="140"/>
      <c r="G133" s="140"/>
    </row>
    <row r="134" spans="1:7" ht="6" customHeight="1">
      <c r="A134" s="163"/>
      <c r="B134" s="140"/>
      <c r="C134" s="69"/>
      <c r="D134" s="69"/>
      <c r="E134" s="140"/>
      <c r="F134" s="140"/>
      <c r="G134" s="140"/>
    </row>
    <row r="135" spans="1:8" ht="15.75" customHeight="1">
      <c r="A135" s="66" t="s">
        <v>207</v>
      </c>
      <c r="C135" s="106">
        <f>+B91-E92*SIN(RADIANS(H92))</f>
        <v>17.60585899672032</v>
      </c>
      <c r="D135" s="69" t="s">
        <v>699</v>
      </c>
      <c r="E135" s="66" t="s">
        <v>669</v>
      </c>
      <c r="G135" s="106">
        <f>+B90+B115-C135</f>
        <v>27.880395209948393</v>
      </c>
      <c r="H135" s="69" t="s">
        <v>699</v>
      </c>
    </row>
    <row r="136" spans="1:7" ht="6" customHeight="1">
      <c r="A136" s="66"/>
      <c r="B136" s="140"/>
      <c r="C136" s="106"/>
      <c r="D136" s="69"/>
      <c r="E136" s="140"/>
      <c r="F136" s="140"/>
      <c r="G136" s="140"/>
    </row>
    <row r="137" spans="1:7" ht="15.75" customHeight="1">
      <c r="A137" s="107" t="s">
        <v>670</v>
      </c>
      <c r="B137" s="305">
        <f>+B93*G135*H103</f>
        <v>15460.525962597703</v>
      </c>
      <c r="C137" s="69" t="s">
        <v>704</v>
      </c>
      <c r="D137" s="69" t="s">
        <v>917</v>
      </c>
      <c r="E137" s="140"/>
      <c r="F137" s="140"/>
      <c r="G137" s="140"/>
    </row>
    <row r="138" spans="1:7" ht="15.75" customHeight="1">
      <c r="A138" s="107"/>
      <c r="B138" s="124"/>
      <c r="C138" s="69"/>
      <c r="D138" s="69" t="s">
        <v>918</v>
      </c>
      <c r="E138" s="140"/>
      <c r="F138" s="140"/>
      <c r="G138" s="140"/>
    </row>
    <row r="139" spans="1:7" ht="15.75" customHeight="1">
      <c r="A139" s="107"/>
      <c r="B139" s="124"/>
      <c r="C139" s="69"/>
      <c r="D139" s="69" t="s">
        <v>927</v>
      </c>
      <c r="E139" s="140"/>
      <c r="F139" s="140"/>
      <c r="G139" s="140"/>
    </row>
    <row r="140" spans="1:7" ht="6" customHeight="1">
      <c r="A140" s="107"/>
      <c r="B140" s="124"/>
      <c r="C140" s="69"/>
      <c r="D140" s="181"/>
      <c r="E140" s="140"/>
      <c r="F140" s="140"/>
      <c r="G140" s="140"/>
    </row>
    <row r="141" spans="1:7" ht="15.75" customHeight="1">
      <c r="A141" s="126" t="s">
        <v>928</v>
      </c>
      <c r="B141" s="124"/>
      <c r="C141" s="69"/>
      <c r="D141" s="181"/>
      <c r="E141" s="140"/>
      <c r="F141" s="140"/>
      <c r="G141" s="306"/>
    </row>
    <row r="142" spans="1:7" ht="6" customHeight="1">
      <c r="A142" s="107"/>
      <c r="B142" s="124"/>
      <c r="C142" s="69"/>
      <c r="D142" s="181"/>
      <c r="E142" s="140"/>
      <c r="F142" s="140"/>
      <c r="G142" s="140"/>
    </row>
    <row r="143" spans="1:7" ht="15.75" customHeight="1">
      <c r="A143" s="68" t="s">
        <v>671</v>
      </c>
      <c r="B143" s="124">
        <f>+(B93/B95)*B92*H104</f>
        <v>1018.6176043695035</v>
      </c>
      <c r="C143" s="69" t="s">
        <v>704</v>
      </c>
      <c r="D143" s="69" t="s">
        <v>922</v>
      </c>
      <c r="E143" s="140"/>
      <c r="F143" s="140"/>
      <c r="G143" s="140"/>
    </row>
    <row r="144" spans="1:7" ht="15.75" customHeight="1">
      <c r="A144" s="68"/>
      <c r="B144" s="124"/>
      <c r="C144" s="69"/>
      <c r="D144" s="69" t="s">
        <v>930</v>
      </c>
      <c r="E144" s="140"/>
      <c r="F144" s="140"/>
      <c r="G144" s="140"/>
    </row>
    <row r="145" spans="1:7" ht="6" customHeight="1">
      <c r="A145" s="140"/>
      <c r="B145" s="140"/>
      <c r="C145" s="140"/>
      <c r="D145" s="140"/>
      <c r="E145" s="140"/>
      <c r="F145" s="140"/>
      <c r="G145" s="140"/>
    </row>
    <row r="146" spans="1:7" ht="15.75" customHeight="1">
      <c r="A146" s="126" t="s">
        <v>914</v>
      </c>
      <c r="B146" s="140"/>
      <c r="C146" s="140"/>
      <c r="D146" s="140"/>
      <c r="E146" s="140"/>
      <c r="F146" s="140"/>
      <c r="G146" s="140"/>
    </row>
    <row r="147" spans="1:7" ht="6" customHeight="1">
      <c r="A147" s="140"/>
      <c r="B147" s="140"/>
      <c r="C147" s="140"/>
      <c r="D147" s="140"/>
      <c r="E147" s="140"/>
      <c r="F147" s="140"/>
      <c r="G147" s="140"/>
    </row>
    <row r="148" spans="1:7" ht="15.75" customHeight="1">
      <c r="A148" s="66" t="s">
        <v>672</v>
      </c>
      <c r="C148" s="106">
        <f>B90+B115+F113-B91</f>
        <v>25.972508413337422</v>
      </c>
      <c r="D148" s="69" t="s">
        <v>699</v>
      </c>
      <c r="E148" s="264"/>
      <c r="F148" s="69"/>
      <c r="G148" s="140"/>
    </row>
    <row r="149" spans="1:7" ht="6" customHeight="1">
      <c r="A149" s="69"/>
      <c r="B149" s="140"/>
      <c r="C149" s="140"/>
      <c r="D149" s="140"/>
      <c r="E149" s="106"/>
      <c r="F149" s="69"/>
      <c r="G149" s="140"/>
    </row>
    <row r="150" spans="1:7" ht="15.75" customHeight="1">
      <c r="A150" s="107" t="s">
        <v>673</v>
      </c>
      <c r="B150" s="305">
        <f>+B93*C148*H103</f>
        <v>14402.544785122282</v>
      </c>
      <c r="C150" s="69" t="s">
        <v>704</v>
      </c>
      <c r="D150" s="69" t="s">
        <v>917</v>
      </c>
      <c r="E150" s="140"/>
      <c r="F150" s="140"/>
      <c r="G150" s="140"/>
    </row>
    <row r="151" spans="1:7" ht="15.75" customHeight="1">
      <c r="A151" s="107"/>
      <c r="B151" s="124"/>
      <c r="C151" s="69"/>
      <c r="D151" s="69" t="s">
        <v>918</v>
      </c>
      <c r="E151" s="140"/>
      <c r="F151" s="140"/>
      <c r="G151" s="140"/>
    </row>
    <row r="152" spans="1:7" ht="15.75" customHeight="1">
      <c r="A152" s="107"/>
      <c r="B152" s="124"/>
      <c r="C152" s="69"/>
      <c r="D152" s="69" t="s">
        <v>919</v>
      </c>
      <c r="E152" s="140"/>
      <c r="F152" s="140"/>
      <c r="G152" s="140"/>
    </row>
    <row r="153" spans="1:7" ht="6" customHeight="1">
      <c r="A153" s="107"/>
      <c r="B153" s="124"/>
      <c r="C153" s="69"/>
      <c r="D153" s="181"/>
      <c r="E153" s="140"/>
      <c r="F153" s="140"/>
      <c r="G153" s="140"/>
    </row>
    <row r="154" spans="1:7" ht="15.75" customHeight="1">
      <c r="A154" s="126" t="s">
        <v>920</v>
      </c>
      <c r="B154" s="124"/>
      <c r="C154" s="69"/>
      <c r="D154" s="181"/>
      <c r="E154" s="140"/>
      <c r="F154" s="140"/>
      <c r="G154" s="140"/>
    </row>
    <row r="155" spans="1:7" ht="6" customHeight="1">
      <c r="A155" s="107"/>
      <c r="B155" s="124"/>
      <c r="C155" s="69"/>
      <c r="D155" s="140"/>
      <c r="E155" s="140"/>
      <c r="F155" s="140"/>
      <c r="G155" s="140"/>
    </row>
    <row r="156" spans="1:7" ht="15.75" customHeight="1">
      <c r="A156" s="68" t="s">
        <v>674</v>
      </c>
      <c r="B156" s="124">
        <f>+(B93/B95)*B92*H104</f>
        <v>1018.6176043695035</v>
      </c>
      <c r="C156" s="69" t="s">
        <v>704</v>
      </c>
      <c r="D156" s="69" t="s">
        <v>922</v>
      </c>
      <c r="E156" s="140"/>
      <c r="F156" s="140"/>
      <c r="G156" s="140"/>
    </row>
    <row r="157" spans="1:7" ht="15.75" customHeight="1">
      <c r="A157" s="140"/>
      <c r="B157" s="140"/>
      <c r="C157" s="140"/>
      <c r="D157" s="69" t="s">
        <v>923</v>
      </c>
      <c r="E157" s="140"/>
      <c r="F157" s="140"/>
      <c r="G157" s="140"/>
    </row>
    <row r="158" spans="1:7" ht="6" customHeight="1">
      <c r="A158" s="140"/>
      <c r="B158" s="140"/>
      <c r="C158" s="140"/>
      <c r="D158" s="181"/>
      <c r="E158" s="140"/>
      <c r="F158" s="140"/>
      <c r="G158" s="140"/>
    </row>
    <row r="159" spans="1:7" ht="15.75" customHeight="1">
      <c r="A159" s="69" t="s">
        <v>675</v>
      </c>
      <c r="B159" s="124"/>
      <c r="C159" s="69"/>
      <c r="D159" s="181"/>
      <c r="E159" s="140"/>
      <c r="F159" s="140"/>
      <c r="G159" s="140"/>
    </row>
    <row r="160" spans="1:7" ht="15.75" customHeight="1">
      <c r="A160" s="69" t="s">
        <v>676</v>
      </c>
      <c r="B160" s="124"/>
      <c r="C160" s="69"/>
      <c r="D160" s="181"/>
      <c r="E160" s="140"/>
      <c r="F160" s="140"/>
      <c r="G160" s="140"/>
    </row>
    <row r="161" spans="1:7" ht="6" customHeight="1">
      <c r="A161" s="140"/>
      <c r="B161" s="140"/>
      <c r="C161" s="140"/>
      <c r="D161" s="140"/>
      <c r="E161" s="140"/>
      <c r="F161" s="140"/>
      <c r="G161" s="140"/>
    </row>
    <row r="162" spans="1:6" ht="15.75" customHeight="1">
      <c r="A162" s="161" t="s">
        <v>677</v>
      </c>
      <c r="B162" s="268"/>
      <c r="C162" s="268"/>
      <c r="D162" s="187"/>
      <c r="E162" s="276">
        <f>+B150-B137+E128*SIN(RADIANS(H92))</f>
        <v>78655.4560999195</v>
      </c>
      <c r="F162" s="161" t="s">
        <v>704</v>
      </c>
    </row>
    <row r="163" spans="1:7" ht="6" customHeight="1">
      <c r="A163" s="140"/>
      <c r="B163" s="140"/>
      <c r="C163" s="69"/>
      <c r="D163" s="140"/>
      <c r="E163" s="307"/>
      <c r="F163" s="124"/>
      <c r="G163" s="69"/>
    </row>
    <row r="164" spans="1:7" ht="15.75" customHeight="1">
      <c r="A164" s="69" t="s">
        <v>678</v>
      </c>
      <c r="B164" s="140"/>
      <c r="D164" s="295"/>
      <c r="E164" s="69"/>
      <c r="F164" s="140"/>
      <c r="G164" s="140"/>
    </row>
    <row r="165" spans="1:7" ht="6" customHeight="1">
      <c r="A165" s="140"/>
      <c r="B165" s="140"/>
      <c r="C165" s="140"/>
      <c r="D165" s="140"/>
      <c r="E165" s="140"/>
      <c r="F165" s="69"/>
      <c r="G165" s="69"/>
    </row>
    <row r="166" spans="1:7" ht="15.75" customHeight="1">
      <c r="A166" s="159" t="s">
        <v>679</v>
      </c>
      <c r="B166" s="276">
        <f>-E128*COS(RADIANS(H92))</f>
        <v>-219010.8689467549</v>
      </c>
      <c r="C166" s="161" t="s">
        <v>704</v>
      </c>
      <c r="E166" s="264"/>
      <c r="F166" s="264"/>
      <c r="G166" s="140"/>
    </row>
    <row r="167" spans="1:7" ht="6" customHeight="1">
      <c r="A167" s="140"/>
      <c r="B167" s="140"/>
      <c r="C167" s="69"/>
      <c r="D167" s="295"/>
      <c r="E167" s="69"/>
      <c r="F167" s="181"/>
      <c r="G167" s="140"/>
    </row>
    <row r="168" spans="1:7" ht="15.75" customHeight="1">
      <c r="A168" s="69" t="s">
        <v>680</v>
      </c>
      <c r="B168" s="140"/>
      <c r="D168" s="140"/>
      <c r="E168" s="140"/>
      <c r="F168" s="181"/>
      <c r="G168" s="140"/>
    </row>
    <row r="169" spans="1:7" ht="6" customHeight="1">
      <c r="A169" s="140"/>
      <c r="B169" s="140"/>
      <c r="C169" s="181"/>
      <c r="D169" s="140"/>
      <c r="E169" s="140"/>
      <c r="F169" s="181"/>
      <c r="G169" s="140"/>
    </row>
    <row r="170" spans="1:7" ht="15.75" customHeight="1">
      <c r="A170" s="120" t="s">
        <v>681</v>
      </c>
      <c r="D170" s="140"/>
      <c r="E170" s="140"/>
      <c r="F170" s="181"/>
      <c r="G170" s="140"/>
    </row>
    <row r="171" spans="1:7" ht="6" customHeight="1">
      <c r="A171" s="298"/>
      <c r="B171" s="25"/>
      <c r="C171" s="272"/>
      <c r="D171" s="272"/>
      <c r="E171" s="272"/>
      <c r="F171" s="118"/>
      <c r="G171" s="25"/>
    </row>
    <row r="172" spans="1:7" ht="15.75" customHeight="1">
      <c r="A172" s="159" t="s">
        <v>682</v>
      </c>
      <c r="B172" s="276">
        <f>+SQRT(ABS(E162)^2+ABS(B166)^2)</f>
        <v>232706.77147667838</v>
      </c>
      <c r="C172" s="161" t="s">
        <v>704</v>
      </c>
      <c r="D172" s="22"/>
      <c r="E172" s="22"/>
      <c r="F172" s="22"/>
      <c r="G172" s="22"/>
    </row>
    <row r="173" ht="6" customHeight="1"/>
    <row r="174" spans="1:9" ht="6" customHeight="1">
      <c r="A174" s="131"/>
      <c r="B174" s="131"/>
      <c r="C174" s="131"/>
      <c r="D174" s="131"/>
      <c r="E174" s="131"/>
      <c r="F174" s="131"/>
      <c r="G174" s="131"/>
      <c r="H174" s="131"/>
      <c r="I174" s="131"/>
    </row>
    <row r="175" spans="1:9" ht="6" customHeight="1">
      <c r="A175" s="28"/>
      <c r="B175" s="28"/>
      <c r="C175" s="28"/>
      <c r="D175" s="28"/>
      <c r="E175" s="28"/>
      <c r="F175" s="28"/>
      <c r="G175" s="28"/>
      <c r="H175" s="28"/>
      <c r="I175" s="28"/>
    </row>
    <row r="176" ht="15.75" customHeight="1">
      <c r="A176" s="85" t="s">
        <v>683</v>
      </c>
    </row>
    <row r="177" ht="6" customHeight="1">
      <c r="A177" s="1"/>
    </row>
    <row r="178" ht="15.75" customHeight="1">
      <c r="A178" s="5" t="s">
        <v>112</v>
      </c>
    </row>
    <row r="179" ht="6" customHeight="1"/>
    <row r="180" spans="1:9" ht="15.75" customHeight="1">
      <c r="A180" s="1" t="s">
        <v>1726</v>
      </c>
      <c r="B180" s="3">
        <v>100</v>
      </c>
      <c r="C180" s="22" t="s">
        <v>699</v>
      </c>
      <c r="D180" s="1" t="s">
        <v>892</v>
      </c>
      <c r="E180" s="3">
        <v>100</v>
      </c>
      <c r="F180" s="4" t="s">
        <v>699</v>
      </c>
      <c r="G180" s="75" t="s">
        <v>684</v>
      </c>
      <c r="H180" s="3">
        <f>+(E184-E183)/(2*TAN(RADIANS(6)))</f>
        <v>0.9514364454222582</v>
      </c>
      <c r="I180" s="4" t="s">
        <v>699</v>
      </c>
    </row>
    <row r="181" spans="1:8" ht="15.75" customHeight="1">
      <c r="A181" s="1" t="s">
        <v>685</v>
      </c>
      <c r="B181" s="3">
        <v>15</v>
      </c>
      <c r="C181" s="22" t="s">
        <v>699</v>
      </c>
      <c r="D181" s="1" t="s">
        <v>894</v>
      </c>
      <c r="E181" s="3">
        <v>10</v>
      </c>
      <c r="F181" s="4" t="s">
        <v>699</v>
      </c>
      <c r="G181" s="1" t="s">
        <v>686</v>
      </c>
      <c r="H181" s="3">
        <v>0.7</v>
      </c>
    </row>
    <row r="182" spans="1:9" ht="15.75" customHeight="1">
      <c r="A182" s="1" t="s">
        <v>687</v>
      </c>
      <c r="B182" s="6">
        <v>100000</v>
      </c>
      <c r="C182" s="300" t="s">
        <v>1214</v>
      </c>
      <c r="D182" s="1" t="s">
        <v>2515</v>
      </c>
      <c r="E182" s="3">
        <v>0.3</v>
      </c>
      <c r="F182" s="4" t="s">
        <v>699</v>
      </c>
      <c r="G182" s="1" t="s">
        <v>1017</v>
      </c>
      <c r="H182" s="1">
        <v>9.806</v>
      </c>
      <c r="I182" s="25" t="s">
        <v>1018</v>
      </c>
    </row>
    <row r="183" spans="1:8" ht="15.75" customHeight="1">
      <c r="A183" s="2" t="s">
        <v>1222</v>
      </c>
      <c r="B183" s="68">
        <v>0.8</v>
      </c>
      <c r="C183" s="25"/>
      <c r="D183" s="1" t="s">
        <v>2516</v>
      </c>
      <c r="E183" s="3">
        <v>0.5</v>
      </c>
      <c r="F183" s="4" t="s">
        <v>699</v>
      </c>
      <c r="G183" s="2" t="s">
        <v>705</v>
      </c>
      <c r="H183" s="6">
        <v>1</v>
      </c>
    </row>
    <row r="184" spans="1:8" ht="15.75" customHeight="1">
      <c r="A184" s="2" t="s">
        <v>525</v>
      </c>
      <c r="B184" s="68">
        <v>9806</v>
      </c>
      <c r="C184" s="25" t="s">
        <v>713</v>
      </c>
      <c r="D184" s="1" t="s">
        <v>882</v>
      </c>
      <c r="E184" s="3">
        <v>0.7</v>
      </c>
      <c r="F184" s="4" t="s">
        <v>699</v>
      </c>
      <c r="G184" s="107" t="s">
        <v>2457</v>
      </c>
      <c r="H184" s="68">
        <v>1</v>
      </c>
    </row>
    <row r="185" spans="1:6" ht="15.75" customHeight="1">
      <c r="A185" s="2" t="s">
        <v>528</v>
      </c>
      <c r="B185" s="166">
        <v>1E-06</v>
      </c>
      <c r="C185" s="25" t="s">
        <v>893</v>
      </c>
      <c r="D185" s="2" t="s">
        <v>939</v>
      </c>
      <c r="E185" s="215">
        <f>0.5*0.001</f>
        <v>0.0005</v>
      </c>
      <c r="F185" s="4" t="s">
        <v>699</v>
      </c>
    </row>
    <row r="186" spans="1:7" ht="15.75" customHeight="1">
      <c r="A186" s="1" t="s">
        <v>2373</v>
      </c>
      <c r="B186" s="3">
        <v>0.3</v>
      </c>
      <c r="C186" s="69" t="s">
        <v>2374</v>
      </c>
      <c r="D186" s="2" t="s">
        <v>940</v>
      </c>
      <c r="E186" s="215">
        <f>0.9*0.001</f>
        <v>0.0009000000000000001</v>
      </c>
      <c r="F186" s="4" t="s">
        <v>699</v>
      </c>
      <c r="G186" s="264"/>
    </row>
    <row r="187" ht="6" customHeight="1">
      <c r="G187" s="2"/>
    </row>
    <row r="188" spans="1:7" ht="15.75" customHeight="1">
      <c r="A188" s="5" t="s">
        <v>688</v>
      </c>
      <c r="C188" s="69"/>
      <c r="G188" s="2"/>
    </row>
    <row r="189" spans="1:7" ht="6" customHeight="1">
      <c r="A189" s="264"/>
      <c r="B189" s="264"/>
      <c r="C189" s="264"/>
      <c r="D189" s="264"/>
      <c r="E189" s="264"/>
      <c r="F189" s="264"/>
      <c r="G189" s="264"/>
    </row>
    <row r="190" spans="1:7" ht="15.75" customHeight="1">
      <c r="A190" s="5" t="s">
        <v>113</v>
      </c>
      <c r="B190" s="264"/>
      <c r="C190" s="264"/>
      <c r="D190" s="264"/>
      <c r="E190" s="264"/>
      <c r="F190" s="264"/>
      <c r="G190" s="264"/>
    </row>
    <row r="191" spans="1:7" ht="6" customHeight="1">
      <c r="A191" s="264"/>
      <c r="B191" s="264"/>
      <c r="C191" s="264"/>
      <c r="D191" s="264"/>
      <c r="E191" s="264"/>
      <c r="F191" s="264"/>
      <c r="G191" s="264"/>
    </row>
    <row r="192" ht="15.75" customHeight="1">
      <c r="A192" s="265" t="s">
        <v>689</v>
      </c>
    </row>
    <row r="193" ht="6" customHeight="1"/>
    <row r="194" spans="1:7" ht="15.75" customHeight="1">
      <c r="A194" s="69" t="s">
        <v>690</v>
      </c>
      <c r="B194" s="286"/>
      <c r="C194" s="286"/>
      <c r="D194" s="286"/>
      <c r="E194" s="286"/>
      <c r="F194" s="286"/>
      <c r="G194" s="286"/>
    </row>
    <row r="195" spans="1:7" ht="6" customHeight="1">
      <c r="A195" s="181"/>
      <c r="B195" s="286"/>
      <c r="C195" s="286"/>
      <c r="D195" s="286"/>
      <c r="E195" s="286"/>
      <c r="F195" s="286"/>
      <c r="G195" s="286"/>
    </row>
    <row r="196" spans="1:7" ht="15.75" customHeight="1">
      <c r="A196" s="25" t="s">
        <v>691</v>
      </c>
      <c r="B196" s="272"/>
      <c r="C196" s="69" t="s">
        <v>692</v>
      </c>
      <c r="D196" s="100" t="s">
        <v>693</v>
      </c>
      <c r="F196" s="15">
        <f>+B182/(B183*B186*B184)</f>
        <v>42.49099190971514</v>
      </c>
      <c r="G196" s="28" t="s">
        <v>699</v>
      </c>
    </row>
    <row r="197" spans="1:7" ht="6" customHeight="1">
      <c r="A197" s="137"/>
      <c r="B197" s="286"/>
      <c r="C197" s="286"/>
      <c r="D197" s="286"/>
      <c r="E197" s="286"/>
      <c r="F197" s="286"/>
      <c r="G197" s="286"/>
    </row>
    <row r="198" spans="1:7" ht="15.75" customHeight="1">
      <c r="A198" s="265" t="s">
        <v>694</v>
      </c>
      <c r="B198" s="264"/>
      <c r="C198" s="264"/>
      <c r="D198" s="264"/>
      <c r="E198" s="264"/>
      <c r="F198" s="264"/>
      <c r="G198" s="264"/>
    </row>
    <row r="199" spans="1:7" ht="6" customHeight="1">
      <c r="A199" s="264"/>
      <c r="B199" s="264"/>
      <c r="C199" s="264"/>
      <c r="D199" s="264"/>
      <c r="E199" s="264"/>
      <c r="F199" s="264"/>
      <c r="G199" s="264"/>
    </row>
    <row r="200" spans="1:7" ht="15.75" customHeight="1">
      <c r="A200" s="1" t="s">
        <v>1662</v>
      </c>
      <c r="B200" s="3">
        <f>+PI()*E182^2/4</f>
        <v>0.07068583470577035</v>
      </c>
      <c r="C200" s="28" t="s">
        <v>108</v>
      </c>
      <c r="D200" s="264"/>
      <c r="E200" s="1" t="s">
        <v>2143</v>
      </c>
      <c r="F200" s="3">
        <f>+PI()*E183^2/4</f>
        <v>0.19634954084936207</v>
      </c>
      <c r="G200" s="28" t="s">
        <v>108</v>
      </c>
    </row>
    <row r="201" spans="1:7" ht="15.75" customHeight="1">
      <c r="A201" s="1" t="s">
        <v>944</v>
      </c>
      <c r="B201" s="3">
        <f>+B186/B200</f>
        <v>4.244131815783875</v>
      </c>
      <c r="C201" s="25" t="s">
        <v>1664</v>
      </c>
      <c r="D201" s="264"/>
      <c r="E201" s="1" t="s">
        <v>945</v>
      </c>
      <c r="F201" s="3">
        <f>+B186/F200</f>
        <v>1.5278874536821951</v>
      </c>
      <c r="G201" s="25" t="s">
        <v>1664</v>
      </c>
    </row>
    <row r="202" spans="1:7" ht="15.75" customHeight="1">
      <c r="A202" s="1" t="s">
        <v>1665</v>
      </c>
      <c r="B202" s="273">
        <f>B201*E182/B185</f>
        <v>1273239.5447351625</v>
      </c>
      <c r="C202" s="264"/>
      <c r="D202" s="264"/>
      <c r="E202" s="1" t="s">
        <v>2145</v>
      </c>
      <c r="F202" s="273">
        <f>F201*E183/B185</f>
        <v>763943.7268410976</v>
      </c>
      <c r="G202" s="264"/>
    </row>
    <row r="203" spans="1:7" ht="15.75" customHeight="1">
      <c r="A203" s="2" t="s">
        <v>1487</v>
      </c>
      <c r="B203" s="3">
        <f>E185/E182</f>
        <v>0.0016666666666666668</v>
      </c>
      <c r="C203" s="264"/>
      <c r="D203" s="264"/>
      <c r="E203" s="2" t="s">
        <v>1488</v>
      </c>
      <c r="F203" s="3">
        <f>+E186/E183</f>
        <v>0.0018000000000000002</v>
      </c>
      <c r="G203" s="264"/>
    </row>
    <row r="204" spans="1:7" ht="15.75" customHeight="1">
      <c r="A204" s="2" t="s">
        <v>1489</v>
      </c>
      <c r="B204" s="19">
        <v>0.02247769297490705</v>
      </c>
      <c r="C204" s="84" t="s">
        <v>55</v>
      </c>
      <c r="D204" s="264"/>
      <c r="E204" s="2" t="s">
        <v>1491</v>
      </c>
      <c r="F204" s="19">
        <v>0.023023449557850743</v>
      </c>
      <c r="G204" s="84" t="s">
        <v>55</v>
      </c>
    </row>
    <row r="205" spans="1:7" ht="15.75" customHeight="1">
      <c r="A205" s="125" t="s">
        <v>901</v>
      </c>
      <c r="B205" s="273">
        <f>1/SQRT(B204)+2*LOG10(2.51/(B202*SQRT(B204))+B203/3.71)</f>
        <v>-1.8379177596727914E-05</v>
      </c>
      <c r="C205" s="264"/>
      <c r="D205" s="264"/>
      <c r="E205" s="125" t="s">
        <v>901</v>
      </c>
      <c r="F205" s="273">
        <f>1/SQRT(F204)+2*LOG10(2.51/(F202*SQRT(F204))+F203/3.71)</f>
        <v>0.00016828017580383658</v>
      </c>
      <c r="G205" s="264"/>
    </row>
    <row r="206" spans="1:7" ht="15.75" customHeight="1">
      <c r="A206" s="125" t="s">
        <v>902</v>
      </c>
      <c r="B206" s="273"/>
      <c r="C206" s="22"/>
      <c r="D206" s="264"/>
      <c r="E206" s="125" t="s">
        <v>902</v>
      </c>
      <c r="F206" s="264"/>
      <c r="G206" s="264"/>
    </row>
    <row r="207" spans="1:7" ht="6" customHeight="1">
      <c r="A207" s="125"/>
      <c r="B207" s="273"/>
      <c r="C207" s="22"/>
      <c r="D207" s="264"/>
      <c r="E207" s="125"/>
      <c r="F207" s="264"/>
      <c r="G207" s="264"/>
    </row>
    <row r="208" spans="1:7" ht="15.75" customHeight="1">
      <c r="A208" s="1" t="s">
        <v>990</v>
      </c>
      <c r="B208" s="19">
        <f>+(B204/E182)*B201^2/(2*H182)</f>
        <v>0.06881550850247824</v>
      </c>
      <c r="C208" s="22"/>
      <c r="D208" s="264"/>
      <c r="E208" s="1" t="s">
        <v>949</v>
      </c>
      <c r="F208" s="19">
        <f>+(F204/E183)*F201^2/(2*H182)</f>
        <v>0.005481018072939469</v>
      </c>
      <c r="G208" s="264"/>
    </row>
    <row r="209" spans="1:7" ht="6" customHeight="1">
      <c r="A209" s="1"/>
      <c r="B209" s="19"/>
      <c r="C209" s="22"/>
      <c r="D209" s="264"/>
      <c r="E209" s="1"/>
      <c r="F209" s="19"/>
      <c r="G209" s="264"/>
    </row>
    <row r="210" spans="1:7" ht="15.75" customHeight="1">
      <c r="A210" s="1"/>
      <c r="B210" s="19"/>
      <c r="C210" s="22"/>
      <c r="D210" s="264"/>
      <c r="E210" s="1" t="s">
        <v>993</v>
      </c>
      <c r="F210" s="3">
        <f>+PI()*E184^2/4</f>
        <v>0.3848451000647496</v>
      </c>
      <c r="G210" s="28" t="s">
        <v>108</v>
      </c>
    </row>
    <row r="211" spans="1:7" ht="15.75" customHeight="1">
      <c r="A211" s="1"/>
      <c r="B211" s="19"/>
      <c r="C211" s="22"/>
      <c r="D211" s="264"/>
      <c r="E211" s="1" t="s">
        <v>994</v>
      </c>
      <c r="F211" s="3">
        <f>+B186/F210</f>
        <v>0.7795344151439773</v>
      </c>
      <c r="G211" s="25" t="s">
        <v>1664</v>
      </c>
    </row>
    <row r="212" spans="1:7" ht="6" customHeight="1">
      <c r="A212" s="1"/>
      <c r="B212" s="19"/>
      <c r="C212" s="22"/>
      <c r="D212" s="264"/>
      <c r="E212" s="1"/>
      <c r="F212" s="3"/>
      <c r="G212" s="25"/>
    </row>
    <row r="213" spans="1:7" ht="15.75" customHeight="1">
      <c r="A213" s="1" t="s">
        <v>695</v>
      </c>
      <c r="B213" s="3">
        <f>+B201^2/(2*H182)</f>
        <v>0.9184506868115917</v>
      </c>
      <c r="C213" s="120" t="s">
        <v>699</v>
      </c>
      <c r="D213" s="264"/>
      <c r="E213" s="1" t="s">
        <v>1343</v>
      </c>
      <c r="F213" s="3">
        <f>+B208*E180</f>
        <v>6.881550850247824</v>
      </c>
      <c r="G213" s="264"/>
    </row>
    <row r="214" spans="1:7" ht="6" customHeight="1">
      <c r="A214" s="1"/>
      <c r="B214" s="264"/>
      <c r="C214" s="264"/>
      <c r="D214" s="264"/>
      <c r="E214" s="264"/>
      <c r="F214" s="264"/>
      <c r="G214" s="264"/>
    </row>
    <row r="215" spans="1:7" ht="15.75" customHeight="1">
      <c r="A215" s="1" t="s">
        <v>1344</v>
      </c>
      <c r="B215" s="3">
        <f>+F208*E181</f>
        <v>0.0548101807293947</v>
      </c>
      <c r="C215" s="120" t="s">
        <v>699</v>
      </c>
      <c r="D215" s="264"/>
      <c r="E215" s="1" t="s">
        <v>696</v>
      </c>
      <c r="F215" s="3">
        <f>+H181*(F201-F211)^2/(2*H182)</f>
        <v>0.0199889143994783</v>
      </c>
      <c r="G215" s="120" t="s">
        <v>699</v>
      </c>
    </row>
    <row r="216" spans="1:7" ht="6" customHeight="1">
      <c r="A216" s="264"/>
      <c r="B216" s="264"/>
      <c r="C216" s="264"/>
      <c r="D216" s="264"/>
      <c r="E216" s="264"/>
      <c r="F216" s="264"/>
      <c r="G216" s="264"/>
    </row>
    <row r="217" spans="1:7" ht="15.75" customHeight="1">
      <c r="A217" s="126" t="s">
        <v>697</v>
      </c>
      <c r="B217" s="140"/>
      <c r="C217" s="140"/>
      <c r="D217" s="140"/>
      <c r="E217" s="140"/>
      <c r="F217" s="140"/>
      <c r="G217" s="140"/>
    </row>
    <row r="218" spans="1:7" ht="6" customHeight="1">
      <c r="A218" s="117"/>
      <c r="B218" s="140"/>
      <c r="C218" s="140"/>
      <c r="D218" s="140"/>
      <c r="E218" s="164"/>
      <c r="F218" s="140"/>
      <c r="G218" s="140"/>
    </row>
    <row r="219" spans="1:7" ht="15.75" customHeight="1">
      <c r="A219" s="181" t="s">
        <v>2386</v>
      </c>
      <c r="B219" s="140"/>
      <c r="C219" s="140"/>
      <c r="D219" s="140"/>
      <c r="E219" s="164"/>
      <c r="F219" s="140"/>
      <c r="G219" s="140"/>
    </row>
    <row r="220" spans="1:7" ht="15.75" customHeight="1">
      <c r="A220" s="69" t="s">
        <v>2387</v>
      </c>
      <c r="B220" s="140"/>
      <c r="C220" s="140"/>
      <c r="D220" s="140"/>
      <c r="E220" s="164"/>
      <c r="F220" s="140"/>
      <c r="G220" s="140"/>
    </row>
    <row r="221" spans="1:7" ht="6" customHeight="1">
      <c r="A221" s="181"/>
      <c r="B221" s="140"/>
      <c r="C221" s="140"/>
      <c r="D221" s="140"/>
      <c r="E221" s="140"/>
      <c r="F221" s="140"/>
      <c r="G221" s="140"/>
    </row>
    <row r="222" spans="1:7" ht="15.75" customHeight="1">
      <c r="A222" s="117" t="s">
        <v>955</v>
      </c>
      <c r="B222" s="140"/>
      <c r="C222" s="264"/>
      <c r="D222" s="68" t="s">
        <v>1915</v>
      </c>
      <c r="E222" s="301" t="s">
        <v>907</v>
      </c>
      <c r="F222" s="140"/>
      <c r="G222" s="140"/>
    </row>
    <row r="223" spans="1:7" ht="6" customHeight="1">
      <c r="A223" s="181"/>
      <c r="B223" s="140"/>
      <c r="C223" s="140"/>
      <c r="D223" s="140"/>
      <c r="E223" s="140"/>
      <c r="F223" s="140"/>
      <c r="G223" s="140"/>
    </row>
    <row r="224" spans="1:7" ht="15.75" customHeight="1">
      <c r="A224" s="69" t="s">
        <v>2388</v>
      </c>
      <c r="B224" s="140"/>
      <c r="C224" s="140"/>
      <c r="D224" s="140"/>
      <c r="E224" s="140"/>
      <c r="F224" s="140"/>
      <c r="G224" s="140"/>
    </row>
    <row r="225" spans="1:7" ht="6" customHeight="1">
      <c r="A225" s="181"/>
      <c r="B225" s="140"/>
      <c r="C225" s="140"/>
      <c r="D225" s="140"/>
      <c r="E225" s="140"/>
      <c r="F225" s="140"/>
      <c r="G225" s="140"/>
    </row>
    <row r="226" spans="1:7" ht="15.75" customHeight="1">
      <c r="A226" s="302" t="s">
        <v>909</v>
      </c>
      <c r="B226" s="140"/>
      <c r="C226" s="140"/>
      <c r="D226" s="140"/>
      <c r="E226" s="140"/>
      <c r="F226" s="140"/>
      <c r="G226" s="140"/>
    </row>
    <row r="227" spans="1:7" ht="6" customHeight="1">
      <c r="A227" s="302"/>
      <c r="B227" s="140"/>
      <c r="C227" s="140"/>
      <c r="D227" s="140"/>
      <c r="E227" s="140"/>
      <c r="F227" s="140"/>
      <c r="G227" s="140"/>
    </row>
    <row r="228" spans="1:7" ht="15.75" customHeight="1">
      <c r="A228" s="66" t="s">
        <v>2389</v>
      </c>
      <c r="B228" s="264"/>
      <c r="C228" s="264"/>
      <c r="D228" s="264"/>
      <c r="F228" s="3">
        <f>2*(0.333333333333333)*H180*PI()*((E183^2)/4+(E184^2)/4+E184*E183/4)</f>
        <v>0.5430063440921338</v>
      </c>
      <c r="G228" s="120" t="s">
        <v>109</v>
      </c>
    </row>
    <row r="229" spans="1:7" ht="6" customHeight="1">
      <c r="A229" s="264"/>
      <c r="B229" s="264"/>
      <c r="C229" s="264"/>
      <c r="D229" s="264"/>
      <c r="E229" s="140"/>
      <c r="F229" s="140"/>
      <c r="G229" s="140"/>
    </row>
    <row r="230" spans="1:7" ht="15.75" customHeight="1">
      <c r="A230" s="68" t="s">
        <v>911</v>
      </c>
      <c r="B230" s="124">
        <f>+B184*F228</f>
        <v>5324.720210167464</v>
      </c>
      <c r="C230" s="69" t="s">
        <v>704</v>
      </c>
      <c r="D230" s="303" t="s">
        <v>912</v>
      </c>
      <c r="E230" s="140"/>
      <c r="F230" s="140"/>
      <c r="G230" s="140"/>
    </row>
    <row r="231" spans="1:7" ht="15.75" customHeight="1">
      <c r="A231" s="163"/>
      <c r="B231" s="140"/>
      <c r="C231" s="69"/>
      <c r="D231" s="304" t="s">
        <v>913</v>
      </c>
      <c r="E231" s="140"/>
      <c r="F231" s="140"/>
      <c r="G231" s="140"/>
    </row>
    <row r="232" spans="1:7" ht="6" customHeight="1">
      <c r="A232" s="163"/>
      <c r="B232" s="140"/>
      <c r="C232" s="69"/>
      <c r="D232" s="69"/>
      <c r="E232" s="140"/>
      <c r="F232" s="140"/>
      <c r="G232" s="140"/>
    </row>
    <row r="233" spans="1:7" ht="15.75" customHeight="1">
      <c r="A233" s="126" t="s">
        <v>914</v>
      </c>
      <c r="B233" s="140"/>
      <c r="C233" s="69"/>
      <c r="D233" s="69"/>
      <c r="E233" s="140"/>
      <c r="F233" s="140"/>
      <c r="G233" s="140"/>
    </row>
    <row r="234" spans="1:7" ht="6" customHeight="1">
      <c r="A234" s="163"/>
      <c r="B234" s="140"/>
      <c r="C234" s="69"/>
      <c r="D234" s="69"/>
      <c r="E234" s="140"/>
      <c r="F234" s="140"/>
      <c r="G234" s="140"/>
    </row>
    <row r="235" spans="1:7" ht="15.75" customHeight="1">
      <c r="A235" s="66" t="s">
        <v>2390</v>
      </c>
      <c r="B235" s="264"/>
      <c r="C235" s="264"/>
      <c r="E235" s="308">
        <f>+B180-B213-F213-F196-B215-F201^2/(2*H182)-B181</f>
        <v>34.53516516348526</v>
      </c>
      <c r="F235" s="69" t="s">
        <v>699</v>
      </c>
      <c r="G235" s="264"/>
    </row>
    <row r="236" spans="1:7" ht="6" customHeight="1">
      <c r="A236" s="66"/>
      <c r="B236" s="140"/>
      <c r="C236" s="106"/>
      <c r="D236" s="69"/>
      <c r="E236" s="140"/>
      <c r="F236" s="140"/>
      <c r="G236" s="140"/>
    </row>
    <row r="237" spans="1:7" ht="15.75" customHeight="1">
      <c r="A237" s="107" t="s">
        <v>673</v>
      </c>
      <c r="B237" s="305">
        <f>+B184*E235*F200</f>
        <v>66494.13124840874</v>
      </c>
      <c r="C237" s="69" t="s">
        <v>704</v>
      </c>
      <c r="D237" s="69" t="s">
        <v>917</v>
      </c>
      <c r="E237" s="140"/>
      <c r="F237" s="140"/>
      <c r="G237" s="140"/>
    </row>
    <row r="238" spans="1:7" ht="15.75" customHeight="1">
      <c r="A238" s="107"/>
      <c r="B238" s="124"/>
      <c r="C238" s="69"/>
      <c r="D238" s="69" t="s">
        <v>918</v>
      </c>
      <c r="E238" s="140"/>
      <c r="F238" s="140"/>
      <c r="G238" s="140"/>
    </row>
    <row r="239" spans="1:7" ht="15.75" customHeight="1">
      <c r="A239" s="107"/>
      <c r="B239" s="124"/>
      <c r="C239" s="69"/>
      <c r="D239" s="69" t="s">
        <v>919</v>
      </c>
      <c r="E239" s="140"/>
      <c r="F239" s="140"/>
      <c r="G239" s="140"/>
    </row>
    <row r="240" spans="1:7" ht="6" customHeight="1">
      <c r="A240" s="107"/>
      <c r="B240" s="124"/>
      <c r="C240" s="69"/>
      <c r="D240" s="181"/>
      <c r="E240" s="140"/>
      <c r="F240" s="140"/>
      <c r="G240" s="140"/>
    </row>
    <row r="241" spans="1:7" ht="15.75" customHeight="1">
      <c r="A241" s="126" t="s">
        <v>920</v>
      </c>
      <c r="B241" s="124"/>
      <c r="C241" s="69"/>
      <c r="D241" s="181"/>
      <c r="E241" s="140"/>
      <c r="F241" s="140"/>
      <c r="G241" s="306"/>
    </row>
    <row r="242" spans="1:7" ht="6" customHeight="1">
      <c r="A242" s="107"/>
      <c r="B242" s="124"/>
      <c r="C242" s="69"/>
      <c r="D242" s="181"/>
      <c r="E242" s="140"/>
      <c r="F242" s="140"/>
      <c r="G242" s="140"/>
    </row>
    <row r="243" spans="1:7" ht="15.75" customHeight="1">
      <c r="A243" s="68" t="s">
        <v>674</v>
      </c>
      <c r="B243" s="124">
        <f>+(B184/H182)*B186*F201</f>
        <v>458.3662361046585</v>
      </c>
      <c r="C243" s="69" t="s">
        <v>704</v>
      </c>
      <c r="D243" s="69" t="s">
        <v>922</v>
      </c>
      <c r="E243" s="140"/>
      <c r="F243" s="140"/>
      <c r="G243" s="140"/>
    </row>
    <row r="244" spans="1:7" ht="15.75" customHeight="1">
      <c r="A244" s="68"/>
      <c r="B244" s="124"/>
      <c r="C244" s="69"/>
      <c r="D244" s="69" t="s">
        <v>923</v>
      </c>
      <c r="E244" s="140"/>
      <c r="F244" s="140"/>
      <c r="G244" s="140"/>
    </row>
    <row r="245" spans="1:7" ht="6" customHeight="1">
      <c r="A245" s="140"/>
      <c r="B245" s="140"/>
      <c r="C245" s="140"/>
      <c r="D245" s="140"/>
      <c r="E245" s="140"/>
      <c r="F245" s="140"/>
      <c r="G245" s="140"/>
    </row>
    <row r="246" spans="1:7" ht="15.75" customHeight="1">
      <c r="A246" s="126" t="s">
        <v>924</v>
      </c>
      <c r="B246" s="140"/>
      <c r="C246" s="140"/>
      <c r="D246" s="140"/>
      <c r="E246" s="140"/>
      <c r="F246" s="140"/>
      <c r="G246" s="140"/>
    </row>
    <row r="247" spans="1:7" ht="6" customHeight="1">
      <c r="A247" s="140"/>
      <c r="B247" s="140"/>
      <c r="C247" s="140"/>
      <c r="D247" s="140"/>
      <c r="E247" s="140"/>
      <c r="F247" s="140"/>
      <c r="G247" s="140"/>
    </row>
    <row r="248" spans="1:7" ht="15.75" customHeight="1">
      <c r="A248" s="66" t="s">
        <v>2391</v>
      </c>
      <c r="B248" s="264"/>
      <c r="C248" s="264"/>
      <c r="D248" s="264"/>
      <c r="F248" s="308">
        <f>+B180-B213-F213-F196-B215-F215-F201^2/(2*H182)-B181</f>
        <v>34.51517624908578</v>
      </c>
      <c r="G248" s="69" t="s">
        <v>699</v>
      </c>
    </row>
    <row r="249" spans="1:7" ht="6" customHeight="1">
      <c r="A249" s="69"/>
      <c r="B249" s="140"/>
      <c r="C249" s="140"/>
      <c r="D249" s="140"/>
      <c r="E249" s="106"/>
      <c r="F249" s="69"/>
      <c r="G249" s="140"/>
    </row>
    <row r="250" spans="1:7" ht="15.75" customHeight="1">
      <c r="A250" s="107" t="s">
        <v>670</v>
      </c>
      <c r="B250" s="305">
        <f>+B184*F248*F200</f>
        <v>66455.6445207125</v>
      </c>
      <c r="C250" s="69" t="s">
        <v>704</v>
      </c>
      <c r="D250" s="69" t="s">
        <v>917</v>
      </c>
      <c r="E250" s="140"/>
      <c r="F250" s="140"/>
      <c r="G250" s="140"/>
    </row>
    <row r="251" spans="1:7" ht="15.75" customHeight="1">
      <c r="A251" s="107"/>
      <c r="B251" s="124"/>
      <c r="C251" s="69"/>
      <c r="D251" s="69" t="s">
        <v>918</v>
      </c>
      <c r="E251" s="140"/>
      <c r="F251" s="140"/>
      <c r="G251" s="140"/>
    </row>
    <row r="252" spans="1:7" ht="15.75" customHeight="1">
      <c r="A252" s="107"/>
      <c r="B252" s="124"/>
      <c r="C252" s="69"/>
      <c r="D252" s="69" t="s">
        <v>927</v>
      </c>
      <c r="E252" s="140"/>
      <c r="F252" s="140"/>
      <c r="G252" s="140"/>
    </row>
    <row r="253" spans="1:7" ht="6" customHeight="1">
      <c r="A253" s="107"/>
      <c r="B253" s="124"/>
      <c r="C253" s="69"/>
      <c r="D253" s="181"/>
      <c r="E253" s="140"/>
      <c r="F253" s="140"/>
      <c r="G253" s="140"/>
    </row>
    <row r="254" spans="1:7" ht="15.75" customHeight="1">
      <c r="A254" s="126" t="s">
        <v>928</v>
      </c>
      <c r="B254" s="124"/>
      <c r="C254" s="69"/>
      <c r="D254" s="181"/>
      <c r="E254" s="140"/>
      <c r="F254" s="140"/>
      <c r="G254" s="140"/>
    </row>
    <row r="255" spans="1:7" ht="6" customHeight="1">
      <c r="A255" s="107"/>
      <c r="B255" s="124"/>
      <c r="C255" s="69"/>
      <c r="D255" s="140"/>
      <c r="E255" s="140"/>
      <c r="F255" s="140"/>
      <c r="G255" s="140"/>
    </row>
    <row r="256" spans="1:7" ht="15.75" customHeight="1">
      <c r="A256" s="68" t="s">
        <v>671</v>
      </c>
      <c r="B256" s="124">
        <f>+(B184/H182)*B186*F201</f>
        <v>458.3662361046585</v>
      </c>
      <c r="C256" s="69" t="s">
        <v>704</v>
      </c>
      <c r="D256" s="69" t="s">
        <v>922</v>
      </c>
      <c r="E256" s="140"/>
      <c r="F256" s="140"/>
      <c r="G256" s="140"/>
    </row>
    <row r="257" spans="1:7" ht="15.75" customHeight="1">
      <c r="A257" s="140"/>
      <c r="B257" s="140"/>
      <c r="C257" s="140"/>
      <c r="D257" s="69" t="s">
        <v>930</v>
      </c>
      <c r="E257" s="140"/>
      <c r="F257" s="140"/>
      <c r="G257" s="140"/>
    </row>
    <row r="258" spans="1:7" ht="6" customHeight="1">
      <c r="A258" s="140"/>
      <c r="B258" s="140"/>
      <c r="C258" s="140"/>
      <c r="D258" s="181"/>
      <c r="E258" s="140"/>
      <c r="F258" s="140"/>
      <c r="G258" s="140"/>
    </row>
    <row r="259" spans="1:7" ht="15.75" customHeight="1">
      <c r="A259" s="69" t="s">
        <v>931</v>
      </c>
      <c r="B259" s="124"/>
      <c r="C259" s="69"/>
      <c r="D259" s="181"/>
      <c r="E259" s="140"/>
      <c r="F259" s="140"/>
      <c r="G259" s="140"/>
    </row>
    <row r="260" spans="1:7" ht="6" customHeight="1">
      <c r="A260" s="140"/>
      <c r="B260" s="140"/>
      <c r="C260" s="140"/>
      <c r="D260" s="140"/>
      <c r="E260" s="140"/>
      <c r="F260" s="140"/>
      <c r="G260" s="140"/>
    </row>
    <row r="261" spans="1:7" ht="15.75" customHeight="1">
      <c r="A261" s="161" t="s">
        <v>2392</v>
      </c>
      <c r="B261" s="268"/>
      <c r="C261" s="74"/>
      <c r="D261" s="276">
        <f>+B237-B250</f>
        <v>38.486727696232265</v>
      </c>
      <c r="E261" s="161" t="s">
        <v>704</v>
      </c>
      <c r="F261" s="264"/>
      <c r="G261" s="264"/>
    </row>
    <row r="262" spans="1:7" ht="6" customHeight="1">
      <c r="A262" s="140"/>
      <c r="B262" s="140"/>
      <c r="C262" s="69"/>
      <c r="D262" s="140"/>
      <c r="E262" s="307"/>
      <c r="F262" s="124"/>
      <c r="G262" s="69"/>
    </row>
    <row r="263" spans="1:7" ht="15.75" customHeight="1">
      <c r="A263" s="69" t="s">
        <v>2393</v>
      </c>
      <c r="B263" s="140"/>
      <c r="C263" s="181"/>
      <c r="D263" s="295"/>
      <c r="E263" s="69"/>
      <c r="F263" s="140"/>
      <c r="G263" s="140"/>
    </row>
    <row r="264" spans="1:7" ht="6" customHeight="1">
      <c r="A264" s="140"/>
      <c r="B264" s="140"/>
      <c r="C264" s="140"/>
      <c r="D264" s="140"/>
      <c r="E264" s="140"/>
      <c r="F264" s="69"/>
      <c r="G264" s="69"/>
    </row>
    <row r="265" spans="1:7" ht="15.75" customHeight="1">
      <c r="A265" s="159" t="s">
        <v>2394</v>
      </c>
      <c r="B265" s="276">
        <f>-B230</f>
        <v>-5324.720210167464</v>
      </c>
      <c r="C265" s="161" t="s">
        <v>704</v>
      </c>
      <c r="D265" s="264"/>
      <c r="E265" s="264"/>
      <c r="F265" s="264"/>
      <c r="G265" s="140"/>
    </row>
    <row r="266" spans="1:7" ht="6" customHeight="1">
      <c r="A266" s="140"/>
      <c r="B266" s="140"/>
      <c r="C266" s="69"/>
      <c r="D266" s="295"/>
      <c r="E266" s="69"/>
      <c r="F266" s="181"/>
      <c r="G266" s="140"/>
    </row>
    <row r="267" spans="1:7" ht="15.75" customHeight="1">
      <c r="A267" s="69" t="s">
        <v>2395</v>
      </c>
      <c r="B267" s="140"/>
      <c r="C267" s="181"/>
      <c r="D267" s="140"/>
      <c r="E267" s="140"/>
      <c r="F267" s="181"/>
      <c r="G267" s="140"/>
    </row>
    <row r="268" spans="1:7" ht="6" customHeight="1">
      <c r="A268" s="140"/>
      <c r="B268" s="140"/>
      <c r="C268" s="181"/>
      <c r="D268" s="140"/>
      <c r="E268" s="140"/>
      <c r="F268" s="181"/>
      <c r="G268" s="140"/>
    </row>
    <row r="269" spans="1:7" ht="15.75" customHeight="1">
      <c r="A269" s="159" t="s">
        <v>937</v>
      </c>
      <c r="B269" s="276">
        <f>+SQRT(ABS(D261)^2+ABS(B265)^2)</f>
        <v>5324.859298119961</v>
      </c>
      <c r="C269" s="161" t="s">
        <v>704</v>
      </c>
      <c r="D269" s="140"/>
      <c r="E269" s="140"/>
      <c r="F269" s="181"/>
      <c r="G269" s="140"/>
    </row>
    <row r="270" spans="1:7" ht="6" customHeight="1">
      <c r="A270" s="68"/>
      <c r="B270" s="295"/>
      <c r="C270" s="69"/>
      <c r="D270" s="140"/>
      <c r="E270" s="140"/>
      <c r="F270" s="181"/>
      <c r="G270" s="140"/>
    </row>
    <row r="271" spans="1:9" ht="6" customHeight="1">
      <c r="A271" s="108"/>
      <c r="B271" s="112"/>
      <c r="C271" s="110"/>
      <c r="D271" s="175"/>
      <c r="E271" s="175"/>
      <c r="F271" s="309"/>
      <c r="G271" s="175"/>
      <c r="H271" s="131"/>
      <c r="I271" s="131"/>
    </row>
    <row r="272" ht="6" customHeight="1"/>
    <row r="273" ht="15.75" customHeight="1">
      <c r="A273" s="85" t="s">
        <v>2396</v>
      </c>
    </row>
    <row r="274" ht="6" customHeight="1">
      <c r="A274" s="1"/>
    </row>
    <row r="275" ht="15.75" customHeight="1">
      <c r="A275" s="5" t="s">
        <v>112</v>
      </c>
    </row>
    <row r="276" ht="6" customHeight="1"/>
    <row r="277" spans="1:8" ht="15.75" customHeight="1">
      <c r="A277" s="68" t="s">
        <v>1016</v>
      </c>
      <c r="B277" s="106">
        <v>25</v>
      </c>
      <c r="C277" s="69" t="s">
        <v>699</v>
      </c>
      <c r="D277" s="68" t="s">
        <v>709</v>
      </c>
      <c r="E277" s="106">
        <v>0.4</v>
      </c>
      <c r="F277" s="69" t="s">
        <v>701</v>
      </c>
      <c r="G277" s="68" t="s">
        <v>2397</v>
      </c>
      <c r="H277" s="68">
        <v>0.38</v>
      </c>
    </row>
    <row r="278" spans="1:9" ht="15.75" customHeight="1">
      <c r="A278" s="68" t="s">
        <v>2398</v>
      </c>
      <c r="B278" s="106">
        <v>16</v>
      </c>
      <c r="C278" s="69" t="s">
        <v>699</v>
      </c>
      <c r="D278" s="105" t="s">
        <v>710</v>
      </c>
      <c r="E278" s="106">
        <v>7</v>
      </c>
      <c r="F278" s="69" t="s">
        <v>699</v>
      </c>
      <c r="G278" s="107" t="s">
        <v>2399</v>
      </c>
      <c r="H278" s="124">
        <v>30</v>
      </c>
      <c r="I278" s="69" t="s">
        <v>2400</v>
      </c>
    </row>
    <row r="279" spans="1:9" ht="15.75" customHeight="1">
      <c r="A279" s="68" t="s">
        <v>892</v>
      </c>
      <c r="B279" s="106">
        <v>16</v>
      </c>
      <c r="C279" s="69" t="s">
        <v>699</v>
      </c>
      <c r="D279" s="107" t="s">
        <v>532</v>
      </c>
      <c r="E279" s="106">
        <v>0.17</v>
      </c>
      <c r="F279" s="66" t="s">
        <v>699</v>
      </c>
      <c r="G279" s="107" t="s">
        <v>2401</v>
      </c>
      <c r="H279" s="124">
        <v>33.07973372530752</v>
      </c>
      <c r="I279" s="69" t="s">
        <v>1333</v>
      </c>
    </row>
    <row r="280" spans="1:8" ht="15.75" customHeight="1">
      <c r="A280" s="68" t="s">
        <v>894</v>
      </c>
      <c r="B280" s="106">
        <v>11</v>
      </c>
      <c r="C280" s="69" t="s">
        <v>699</v>
      </c>
      <c r="D280" s="107" t="s">
        <v>1334</v>
      </c>
      <c r="E280" s="124">
        <f>+E281/E284</f>
        <v>830.0020395676117</v>
      </c>
      <c r="F280" s="120" t="s">
        <v>1335</v>
      </c>
      <c r="G280" s="107" t="s">
        <v>1336</v>
      </c>
      <c r="H280" s="68">
        <v>1</v>
      </c>
    </row>
    <row r="281" spans="1:8" ht="15.75" customHeight="1">
      <c r="A281" s="68" t="s">
        <v>2515</v>
      </c>
      <c r="B281" s="106">
        <v>0.2</v>
      </c>
      <c r="C281" s="178" t="s">
        <v>699</v>
      </c>
      <c r="D281" s="107" t="s">
        <v>525</v>
      </c>
      <c r="E281" s="68">
        <v>8139</v>
      </c>
      <c r="F281" s="310" t="s">
        <v>1337</v>
      </c>
      <c r="G281" s="107" t="s">
        <v>2457</v>
      </c>
      <c r="H281" s="68">
        <v>1</v>
      </c>
    </row>
    <row r="282" spans="1:6" ht="15.75" customHeight="1">
      <c r="A282" s="68" t="s">
        <v>2516</v>
      </c>
      <c r="B282" s="106">
        <v>0.4</v>
      </c>
      <c r="C282" s="178" t="s">
        <v>699</v>
      </c>
      <c r="D282" s="107" t="s">
        <v>528</v>
      </c>
      <c r="E282" s="138">
        <v>1.201E-05</v>
      </c>
      <c r="F282" s="120" t="s">
        <v>893</v>
      </c>
    </row>
    <row r="283" spans="1:7" ht="15.75" customHeight="1">
      <c r="A283" s="107" t="s">
        <v>1346</v>
      </c>
      <c r="B283" s="138">
        <v>6E-05</v>
      </c>
      <c r="C283" s="69" t="s">
        <v>699</v>
      </c>
      <c r="D283" s="107" t="s">
        <v>1338</v>
      </c>
      <c r="E283" s="68">
        <v>133362</v>
      </c>
      <c r="F283" s="120" t="s">
        <v>713</v>
      </c>
      <c r="G283" s="272"/>
    </row>
    <row r="284" spans="1:7" ht="15.75" customHeight="1">
      <c r="A284" s="107" t="s">
        <v>1339</v>
      </c>
      <c r="B284" s="138">
        <v>0.001</v>
      </c>
      <c r="C284" s="69" t="s">
        <v>699</v>
      </c>
      <c r="D284" s="68" t="s">
        <v>1017</v>
      </c>
      <c r="E284" s="68">
        <v>9.806</v>
      </c>
      <c r="F284" s="120" t="s">
        <v>1018</v>
      </c>
      <c r="G284" s="272"/>
    </row>
    <row r="285" spans="1:7" ht="6" customHeight="1">
      <c r="A285" s="264"/>
      <c r="B285" s="264"/>
      <c r="C285" s="264"/>
      <c r="D285" s="163"/>
      <c r="E285" s="140"/>
      <c r="F285" s="140"/>
      <c r="G285" s="140"/>
    </row>
    <row r="286" spans="1:7" ht="15.75" customHeight="1">
      <c r="A286" s="117" t="s">
        <v>1340</v>
      </c>
      <c r="B286" s="181"/>
      <c r="C286" s="181"/>
      <c r="D286" s="105"/>
      <c r="E286" s="105"/>
      <c r="F286" s="181"/>
      <c r="G286" s="181"/>
    </row>
    <row r="287" spans="1:7" ht="15.75" customHeight="1">
      <c r="A287" s="117" t="s">
        <v>1341</v>
      </c>
      <c r="B287" s="140"/>
      <c r="C287" s="140"/>
      <c r="D287" s="163"/>
      <c r="E287" s="163"/>
      <c r="F287" s="140"/>
      <c r="G287" s="140"/>
    </row>
    <row r="288" spans="1:7" ht="6" customHeight="1">
      <c r="A288" s="117"/>
      <c r="B288" s="140"/>
      <c r="C288" s="140"/>
      <c r="D288" s="163"/>
      <c r="E288" s="163"/>
      <c r="F288" s="140"/>
      <c r="G288" s="140"/>
    </row>
    <row r="289" spans="1:7" ht="15.75" customHeight="1">
      <c r="A289" s="5" t="s">
        <v>113</v>
      </c>
      <c r="B289" s="140"/>
      <c r="C289" s="140"/>
      <c r="D289" s="163"/>
      <c r="E289" s="163"/>
      <c r="F289" s="140"/>
      <c r="G289" s="140"/>
    </row>
    <row r="290" spans="1:7" ht="15.75" customHeight="1">
      <c r="A290" s="126" t="s">
        <v>1226</v>
      </c>
      <c r="B290" s="140"/>
      <c r="C290" s="140"/>
      <c r="D290" s="163"/>
      <c r="E290" s="163"/>
      <c r="F290" s="140"/>
      <c r="G290" s="140"/>
    </row>
    <row r="291" spans="1:7" ht="6" customHeight="1">
      <c r="A291" s="181"/>
      <c r="B291" s="140"/>
      <c r="C291" s="140"/>
      <c r="D291" s="163"/>
      <c r="E291" s="163"/>
      <c r="F291" s="140"/>
      <c r="G291" s="140"/>
    </row>
    <row r="292" spans="1:7" ht="15.75" customHeight="1">
      <c r="A292" s="69" t="s">
        <v>735</v>
      </c>
      <c r="B292" s="140"/>
      <c r="C292" s="140"/>
      <c r="D292" s="163"/>
      <c r="E292" s="163"/>
      <c r="F292" s="140"/>
      <c r="G292" s="140"/>
    </row>
    <row r="293" spans="1:7" ht="15.75" customHeight="1">
      <c r="A293" s="69" t="s">
        <v>736</v>
      </c>
      <c r="B293" s="140"/>
      <c r="C293" s="140"/>
      <c r="D293" s="163"/>
      <c r="E293" s="163"/>
      <c r="F293" s="140"/>
      <c r="G293" s="140"/>
    </row>
    <row r="294" spans="1:7" ht="6" customHeight="1">
      <c r="A294" s="181"/>
      <c r="B294" s="140"/>
      <c r="C294" s="140"/>
      <c r="D294" s="163"/>
      <c r="E294" s="163"/>
      <c r="F294" s="140"/>
      <c r="G294" s="140"/>
    </row>
    <row r="295" spans="1:7" ht="15.75" customHeight="1">
      <c r="A295" s="301" t="s">
        <v>1693</v>
      </c>
      <c r="B295" s="140"/>
      <c r="C295" s="140"/>
      <c r="D295" s="140"/>
      <c r="E295" s="117" t="s">
        <v>1694</v>
      </c>
      <c r="F295" s="140"/>
      <c r="G295" s="140"/>
    </row>
    <row r="296" spans="1:7" ht="6" customHeight="1">
      <c r="A296" s="140"/>
      <c r="B296" s="140"/>
      <c r="C296" s="140"/>
      <c r="D296" s="140"/>
      <c r="E296" s="140"/>
      <c r="F296" s="140"/>
      <c r="G296" s="140"/>
    </row>
    <row r="297" spans="1:7" ht="15.75" customHeight="1">
      <c r="A297" s="140"/>
      <c r="B297" s="117" t="s">
        <v>2342</v>
      </c>
      <c r="C297" s="140"/>
      <c r="D297" s="140"/>
      <c r="E297" s="140"/>
      <c r="F297" s="140"/>
      <c r="G297" s="301"/>
    </row>
    <row r="298" spans="1:7" ht="6" customHeight="1">
      <c r="A298" s="163"/>
      <c r="B298" s="140"/>
      <c r="C298" s="140"/>
      <c r="D298" s="140"/>
      <c r="E298" s="140"/>
      <c r="F298" s="140"/>
      <c r="G298" s="140"/>
    </row>
    <row r="299" spans="1:7" ht="15.75" customHeight="1">
      <c r="A299" s="69" t="s">
        <v>2343</v>
      </c>
      <c r="B299" s="264"/>
      <c r="C299" s="264"/>
      <c r="E299" s="68" t="s">
        <v>2344</v>
      </c>
      <c r="F299" s="139">
        <f>+(E279*(E283-E281)/E281)/E278</f>
        <v>0.3736490969406561</v>
      </c>
      <c r="G299" s="140"/>
    </row>
    <row r="300" spans="1:7" ht="6" customHeight="1">
      <c r="A300" s="163"/>
      <c r="B300" s="163"/>
      <c r="C300" s="140"/>
      <c r="D300" s="69"/>
      <c r="E300" s="69"/>
      <c r="F300" s="163"/>
      <c r="G300" s="140"/>
    </row>
    <row r="301" spans="1:7" ht="15.75" customHeight="1">
      <c r="A301" s="69" t="s">
        <v>2345</v>
      </c>
      <c r="B301" s="163"/>
      <c r="C301" s="140"/>
      <c r="D301" s="69"/>
      <c r="E301" s="69"/>
      <c r="F301" s="163"/>
      <c r="G301" s="140"/>
    </row>
    <row r="302" spans="1:7" ht="6" customHeight="1">
      <c r="A302" s="163"/>
      <c r="B302" s="163"/>
      <c r="C302" s="140"/>
      <c r="D302" s="69"/>
      <c r="E302" s="69"/>
      <c r="F302" s="163"/>
      <c r="G302" s="140"/>
    </row>
    <row r="303" spans="1:7" ht="15.75" customHeight="1">
      <c r="A303" s="68" t="s">
        <v>1662</v>
      </c>
      <c r="B303" s="139">
        <f>+PI()*B281^2/4</f>
        <v>0.031415926535897934</v>
      </c>
      <c r="C303" s="120" t="s">
        <v>108</v>
      </c>
      <c r="D303" s="140"/>
      <c r="E303" s="140"/>
      <c r="F303" s="140"/>
      <c r="G303" s="140"/>
    </row>
    <row r="304" spans="1:7" ht="6" customHeight="1">
      <c r="A304" s="68"/>
      <c r="B304" s="139"/>
      <c r="D304" s="140"/>
      <c r="E304" s="140"/>
      <c r="F304" s="140"/>
      <c r="G304" s="140"/>
    </row>
    <row r="305" spans="1:7" ht="15.75" customHeight="1">
      <c r="A305" s="69" t="s">
        <v>2346</v>
      </c>
      <c r="B305" s="184"/>
      <c r="D305" s="124">
        <f>+B281*SQRT(2*E284*B281*F299)/E282</f>
        <v>20160.20281458301</v>
      </c>
      <c r="F305" s="107" t="s">
        <v>1487</v>
      </c>
      <c r="G305" s="139">
        <f>+B283/B281</f>
        <v>0.0003</v>
      </c>
    </row>
    <row r="306" spans="1:7" ht="6" customHeight="1">
      <c r="A306" s="123"/>
      <c r="B306" s="184"/>
      <c r="C306" s="311"/>
      <c r="D306" s="140"/>
      <c r="E306" s="69"/>
      <c r="F306" s="140"/>
      <c r="G306" s="140"/>
    </row>
    <row r="307" spans="1:7" ht="15.75" customHeight="1">
      <c r="A307" s="167" t="s">
        <v>2177</v>
      </c>
      <c r="B307" s="184"/>
      <c r="C307" s="140"/>
      <c r="E307" s="139">
        <f>+(-2*LOG10(2.51/(D305)+(G305)/3.71))^(-2)</f>
        <v>0.01838579021458187</v>
      </c>
      <c r="F307" s="140"/>
      <c r="G307" s="140"/>
    </row>
    <row r="308" spans="1:7" ht="6" customHeight="1">
      <c r="A308" s="107"/>
      <c r="B308" s="106"/>
      <c r="C308" s="140"/>
      <c r="D308" s="140"/>
      <c r="E308" s="69"/>
      <c r="F308" s="140"/>
      <c r="G308" s="140"/>
    </row>
    <row r="309" spans="1:7" ht="6" customHeight="1">
      <c r="A309" s="140"/>
      <c r="B309" s="163"/>
      <c r="C309" s="140"/>
      <c r="D309" s="69"/>
      <c r="E309" s="69"/>
      <c r="F309" s="163"/>
      <c r="G309" s="140"/>
    </row>
    <row r="310" spans="1:7" ht="15.75" customHeight="1">
      <c r="A310" s="159" t="s">
        <v>2347</v>
      </c>
      <c r="B310" s="268"/>
      <c r="C310" s="153">
        <f>+B303*SQRT(2*E284*B281*F299/E307)</f>
        <v>0.2804895147297201</v>
      </c>
      <c r="D310" s="269" t="s">
        <v>2374</v>
      </c>
      <c r="E310" s="140"/>
      <c r="F310" s="163"/>
      <c r="G310" s="306"/>
    </row>
    <row r="311" spans="1:7" ht="6" customHeight="1">
      <c r="A311" s="183"/>
      <c r="B311" s="163"/>
      <c r="C311" s="140"/>
      <c r="D311" s="140"/>
      <c r="E311" s="140"/>
      <c r="F311" s="163"/>
      <c r="G311" s="140"/>
    </row>
    <row r="312" spans="1:7" ht="15.75" customHeight="1">
      <c r="A312" s="126" t="s">
        <v>1657</v>
      </c>
      <c r="B312" s="182"/>
      <c r="C312" s="140"/>
      <c r="D312" s="140"/>
      <c r="E312" s="140"/>
      <c r="F312" s="140"/>
      <c r="G312" s="140"/>
    </row>
    <row r="313" spans="1:7" ht="6" customHeight="1">
      <c r="A313" s="117"/>
      <c r="B313" s="182"/>
      <c r="C313" s="140"/>
      <c r="D313" s="117"/>
      <c r="E313" s="140"/>
      <c r="F313" s="140"/>
      <c r="G313" s="140"/>
    </row>
    <row r="314" spans="1:7" ht="15.75" customHeight="1">
      <c r="A314" s="69" t="s">
        <v>1658</v>
      </c>
      <c r="B314" s="182"/>
      <c r="C314" s="140"/>
      <c r="D314" s="117"/>
      <c r="E314" s="140"/>
      <c r="F314" s="140"/>
      <c r="G314" s="140"/>
    </row>
    <row r="315" spans="1:7" ht="15.75" customHeight="1">
      <c r="A315" s="69" t="s">
        <v>1083</v>
      </c>
      <c r="B315" s="182"/>
      <c r="C315" s="140"/>
      <c r="D315" s="117"/>
      <c r="E315" s="140"/>
      <c r="F315" s="140"/>
      <c r="G315" s="140"/>
    </row>
    <row r="316" spans="1:7" ht="15.75" customHeight="1">
      <c r="A316" s="208" t="s">
        <v>1084</v>
      </c>
      <c r="B316" s="140"/>
      <c r="C316" s="140"/>
      <c r="D316" s="117"/>
      <c r="E316" s="140"/>
      <c r="F316" s="140"/>
      <c r="G316" s="140"/>
    </row>
    <row r="317" spans="1:7" ht="6" customHeight="1">
      <c r="A317" s="117"/>
      <c r="B317" s="182"/>
      <c r="C317" s="140"/>
      <c r="D317" s="117"/>
      <c r="E317" s="140"/>
      <c r="F317" s="140"/>
      <c r="G317" s="140"/>
    </row>
    <row r="318" spans="1:7" ht="15.75" customHeight="1">
      <c r="A318" s="117" t="s">
        <v>1085</v>
      </c>
      <c r="B318" s="140"/>
      <c r="C318" s="140"/>
      <c r="D318" s="117"/>
      <c r="E318" s="140"/>
      <c r="F318" s="140"/>
      <c r="G318" s="140"/>
    </row>
    <row r="319" spans="1:7" ht="6" customHeight="1">
      <c r="A319" s="140"/>
      <c r="B319" s="182"/>
      <c r="C319" s="140"/>
      <c r="D319" s="140"/>
      <c r="E319" s="140"/>
      <c r="F319" s="182"/>
      <c r="G319" s="140"/>
    </row>
    <row r="320" spans="1:7" ht="15.75" customHeight="1">
      <c r="A320" s="69" t="s">
        <v>1086</v>
      </c>
      <c r="B320" s="184"/>
      <c r="C320" s="140"/>
      <c r="D320" s="140"/>
      <c r="E320" s="117"/>
      <c r="F320" s="184"/>
      <c r="G320" s="301"/>
    </row>
    <row r="321" spans="1:7" ht="6" customHeight="1">
      <c r="A321" s="140"/>
      <c r="B321" s="184"/>
      <c r="C321" s="140"/>
      <c r="D321" s="140"/>
      <c r="E321" s="140"/>
      <c r="F321" s="184"/>
      <c r="G321" s="140"/>
    </row>
    <row r="322" spans="1:8" ht="15.75" customHeight="1">
      <c r="A322" s="68" t="s">
        <v>1087</v>
      </c>
      <c r="B322" s="106">
        <f>+(E277*10^5)/E281</f>
        <v>4.9146086742843105</v>
      </c>
      <c r="C322" s="69" t="s">
        <v>1088</v>
      </c>
      <c r="D322" s="68" t="s">
        <v>692</v>
      </c>
      <c r="E322" s="68" t="s">
        <v>1089</v>
      </c>
      <c r="G322" s="106">
        <f>+B277+B322</f>
        <v>29.91460867428431</v>
      </c>
      <c r="H322" s="69" t="s">
        <v>699</v>
      </c>
    </row>
    <row r="323" spans="1:7" ht="6" customHeight="1">
      <c r="A323" s="140"/>
      <c r="B323" s="140"/>
      <c r="C323" s="140"/>
      <c r="D323" s="140"/>
      <c r="E323" s="140"/>
      <c r="F323" s="188"/>
      <c r="G323" s="306"/>
    </row>
    <row r="324" spans="1:7" ht="15.75" customHeight="1">
      <c r="A324" s="69" t="s">
        <v>1090</v>
      </c>
      <c r="B324" s="140"/>
      <c r="C324" s="140"/>
      <c r="D324" s="140"/>
      <c r="E324" s="140"/>
      <c r="F324" s="188"/>
      <c r="G324" s="306"/>
    </row>
    <row r="325" spans="1:7" ht="6" customHeight="1">
      <c r="A325" s="163"/>
      <c r="B325" s="69"/>
      <c r="C325" s="69"/>
      <c r="D325" s="140"/>
      <c r="E325" s="140"/>
      <c r="F325" s="188"/>
      <c r="G325" s="184"/>
    </row>
    <row r="326" spans="1:7" ht="15.75" customHeight="1">
      <c r="A326" s="68" t="s">
        <v>1662</v>
      </c>
      <c r="B326" s="106">
        <f>+PI()*B281^2/4</f>
        <v>0.031415926535897934</v>
      </c>
      <c r="C326" s="69" t="s">
        <v>108</v>
      </c>
      <c r="E326" s="68" t="s">
        <v>2143</v>
      </c>
      <c r="F326" s="106">
        <f>+PI()*B282^2/4</f>
        <v>0.12566370614359174</v>
      </c>
      <c r="G326" s="120" t="s">
        <v>108</v>
      </c>
    </row>
    <row r="327" spans="1:7" ht="15.75" customHeight="1">
      <c r="A327" s="68" t="s">
        <v>944</v>
      </c>
      <c r="B327" s="106">
        <f>+C310/B326</f>
        <v>8.928258550936388</v>
      </c>
      <c r="C327" s="69" t="s">
        <v>2381</v>
      </c>
      <c r="E327" s="68" t="s">
        <v>945</v>
      </c>
      <c r="F327" s="106">
        <f>+C310/F326</f>
        <v>2.232064637734097</v>
      </c>
      <c r="G327" s="69" t="s">
        <v>2381</v>
      </c>
    </row>
    <row r="328" spans="1:7" ht="15.75" customHeight="1">
      <c r="A328" s="68" t="s">
        <v>1091</v>
      </c>
      <c r="B328" s="138">
        <f>+B327*B281/E282</f>
        <v>148680.40884157183</v>
      </c>
      <c r="C328" s="117"/>
      <c r="E328" s="68" t="s">
        <v>1092</v>
      </c>
      <c r="F328" s="138">
        <f>+F327*B282/E282</f>
        <v>74340.20442078591</v>
      </c>
      <c r="G328" s="69"/>
    </row>
    <row r="329" spans="1:7" ht="15.75" customHeight="1">
      <c r="A329" s="107" t="s">
        <v>1487</v>
      </c>
      <c r="B329" s="139">
        <f>+B283/B281</f>
        <v>0.0003</v>
      </c>
      <c r="C329" s="69"/>
      <c r="E329" s="107" t="s">
        <v>1488</v>
      </c>
      <c r="F329" s="139">
        <f>+B284/B282</f>
        <v>0.0025</v>
      </c>
      <c r="G329" s="69"/>
    </row>
    <row r="330" spans="1:7" ht="15.75" customHeight="1">
      <c r="A330" s="66" t="s">
        <v>1093</v>
      </c>
      <c r="B330" s="166"/>
      <c r="C330" s="69"/>
      <c r="E330" s="66" t="s">
        <v>1093</v>
      </c>
      <c r="F330" s="68"/>
      <c r="G330" s="68"/>
    </row>
    <row r="331" spans="1:7" ht="6" customHeight="1">
      <c r="A331" s="163"/>
      <c r="B331" s="163"/>
      <c r="C331" s="69"/>
      <c r="D331" s="183"/>
      <c r="E331" s="140"/>
      <c r="F331" s="68"/>
      <c r="G331" s="69"/>
    </row>
    <row r="332" spans="1:7" ht="15.75" customHeight="1">
      <c r="A332" s="107" t="s">
        <v>982</v>
      </c>
      <c r="B332" s="139">
        <f>+E307</f>
        <v>0.01838579021458187</v>
      </c>
      <c r="C332" s="69"/>
      <c r="E332" s="107" t="s">
        <v>983</v>
      </c>
      <c r="F332" s="139">
        <v>0.02677818769645912</v>
      </c>
      <c r="G332" s="69"/>
    </row>
    <row r="333" spans="1:7" ht="15.75" customHeight="1">
      <c r="A333" s="68" t="s">
        <v>1094</v>
      </c>
      <c r="B333" s="166"/>
      <c r="C333" s="69"/>
      <c r="E333" s="105" t="s">
        <v>901</v>
      </c>
      <c r="F333" s="166">
        <f>1/SQRT(F332)+2*LOG10(2.51/(F328*SQRT(F332))+F329/3.71)</f>
        <v>0.00010552952974407503</v>
      </c>
      <c r="G333" s="69"/>
    </row>
    <row r="334" spans="1:7" ht="15.75" customHeight="1">
      <c r="A334" s="68"/>
      <c r="B334" s="68"/>
      <c r="C334" s="69"/>
      <c r="E334" s="66" t="s">
        <v>1641</v>
      </c>
      <c r="F334" s="140"/>
      <c r="G334" s="69"/>
    </row>
    <row r="335" spans="1:7" ht="6" customHeight="1">
      <c r="A335" s="141"/>
      <c r="B335" s="68"/>
      <c r="C335" s="69"/>
      <c r="D335" s="157"/>
      <c r="E335" s="140"/>
      <c r="F335" s="68"/>
      <c r="G335" s="69"/>
    </row>
    <row r="336" spans="1:7" ht="15.75" customHeight="1">
      <c r="A336" s="66" t="s">
        <v>1095</v>
      </c>
      <c r="B336" s="68"/>
      <c r="C336" s="69"/>
      <c r="D336" s="157"/>
      <c r="E336" s="140"/>
      <c r="F336" s="68"/>
      <c r="G336" s="69"/>
    </row>
    <row r="337" spans="1:7" ht="6" customHeight="1">
      <c r="A337" s="141"/>
      <c r="B337" s="68"/>
      <c r="C337" s="69"/>
      <c r="D337" s="157"/>
      <c r="E337" s="140"/>
      <c r="F337" s="68"/>
      <c r="G337" s="69"/>
    </row>
    <row r="338" spans="1:7" ht="15.75" customHeight="1">
      <c r="A338" s="68" t="s">
        <v>1096</v>
      </c>
      <c r="B338" s="139">
        <f>+F299</f>
        <v>0.3736490969406561</v>
      </c>
      <c r="D338" s="69"/>
      <c r="E338" s="68" t="s">
        <v>1097</v>
      </c>
      <c r="F338" s="106">
        <f>+(F332/B282)*F327^2/(2*E284)</f>
        <v>0.017006417615371604</v>
      </c>
      <c r="G338" s="69"/>
    </row>
    <row r="339" spans="1:7" ht="15.75" customHeight="1">
      <c r="A339" s="68" t="s">
        <v>1098</v>
      </c>
      <c r="B339" s="106"/>
      <c r="C339" s="69"/>
      <c r="D339" s="68"/>
      <c r="E339" s="68"/>
      <c r="F339" s="106"/>
      <c r="G339" s="69"/>
    </row>
    <row r="340" spans="1:7" ht="6" customHeight="1">
      <c r="A340" s="105"/>
      <c r="B340" s="106"/>
      <c r="C340" s="69"/>
      <c r="D340" s="68"/>
      <c r="E340" s="68"/>
      <c r="F340" s="106"/>
      <c r="G340" s="69"/>
    </row>
    <row r="341" spans="1:7" ht="15.75" customHeight="1">
      <c r="A341" s="69" t="s">
        <v>1099</v>
      </c>
      <c r="B341" s="106"/>
      <c r="C341" s="69"/>
      <c r="D341" s="68"/>
      <c r="E341" s="68"/>
      <c r="F341" s="106"/>
      <c r="G341" s="69"/>
    </row>
    <row r="342" spans="1:7" ht="6" customHeight="1">
      <c r="A342" s="68"/>
      <c r="B342" s="106"/>
      <c r="C342" s="69"/>
      <c r="D342" s="68"/>
      <c r="E342" s="68"/>
      <c r="F342" s="106"/>
      <c r="G342" s="69"/>
    </row>
    <row r="343" spans="1:7" ht="15.75" customHeight="1">
      <c r="A343" s="68" t="s">
        <v>1343</v>
      </c>
      <c r="B343" s="106">
        <f>+B338*B279</f>
        <v>5.978385551050498</v>
      </c>
      <c r="C343" s="69" t="s">
        <v>699</v>
      </c>
      <c r="E343" s="68" t="s">
        <v>1344</v>
      </c>
      <c r="F343" s="106">
        <f>+F338*B280</f>
        <v>0.18707059376908763</v>
      </c>
      <c r="G343" s="69" t="s">
        <v>699</v>
      </c>
    </row>
    <row r="344" spans="1:7" ht="6" customHeight="1">
      <c r="A344" s="12"/>
      <c r="B344" s="106"/>
      <c r="C344" s="69"/>
      <c r="D344" s="68"/>
      <c r="E344" s="106"/>
      <c r="F344" s="69"/>
      <c r="G344" s="264"/>
    </row>
    <row r="345" spans="1:7" ht="15.75" customHeight="1">
      <c r="A345" s="12" t="s">
        <v>1100</v>
      </c>
      <c r="B345" s="106">
        <f>0.5*B327^2/(2*E284)</f>
        <v>2.032271077716927</v>
      </c>
      <c r="C345" s="69" t="s">
        <v>699</v>
      </c>
      <c r="E345" s="12" t="s">
        <v>1101</v>
      </c>
      <c r="F345" s="106">
        <f>+H277*(B327-F327)^2/(2*E284)</f>
        <v>0.8687958857239861</v>
      </c>
      <c r="G345" s="69" t="s">
        <v>699</v>
      </c>
    </row>
    <row r="346" spans="1:7" ht="6" customHeight="1">
      <c r="A346" s="12"/>
      <c r="B346" s="106"/>
      <c r="C346" s="69"/>
      <c r="D346" s="68"/>
      <c r="E346" s="106"/>
      <c r="F346" s="69"/>
      <c r="G346" s="264"/>
    </row>
    <row r="347" spans="1:4" ht="15.75" customHeight="1">
      <c r="A347" s="107" t="s">
        <v>1370</v>
      </c>
      <c r="B347" s="106">
        <f>+F327^2/(2*E284)</f>
        <v>0.25403388471461585</v>
      </c>
      <c r="C347" s="69" t="s">
        <v>699</v>
      </c>
      <c r="D347" s="264"/>
    </row>
    <row r="348" spans="1:7" ht="6" customHeight="1">
      <c r="A348" s="28"/>
      <c r="B348" s="28"/>
      <c r="C348" s="28"/>
      <c r="D348" s="28"/>
      <c r="E348" s="28"/>
      <c r="F348" s="28"/>
      <c r="G348" s="28"/>
    </row>
    <row r="349" spans="1:7" ht="15.75" customHeight="1">
      <c r="A349" s="69" t="s">
        <v>1371</v>
      </c>
      <c r="B349" s="140"/>
      <c r="C349" s="140"/>
      <c r="D349" s="140"/>
      <c r="E349" s="140"/>
      <c r="F349" s="140"/>
      <c r="G349" s="140"/>
    </row>
    <row r="350" spans="1:7" ht="6" customHeight="1">
      <c r="A350" s="140"/>
      <c r="B350" s="140"/>
      <c r="C350" s="140"/>
      <c r="D350" s="140"/>
      <c r="E350" s="140"/>
      <c r="F350" s="140"/>
      <c r="G350" s="140"/>
    </row>
    <row r="351" spans="1:7" ht="15.75" customHeight="1">
      <c r="A351" s="161" t="s">
        <v>1102</v>
      </c>
      <c r="B351" s="187"/>
      <c r="C351" s="187"/>
      <c r="D351" s="187"/>
      <c r="E351" s="74"/>
      <c r="F351" s="153">
        <f>+G322-B345-B343-F345-F343-B347</f>
        <v>20.594051681309193</v>
      </c>
      <c r="G351" s="161" t="s">
        <v>699</v>
      </c>
    </row>
    <row r="352" spans="1:7" ht="6" customHeight="1">
      <c r="A352" s="140"/>
      <c r="B352" s="140"/>
      <c r="C352" s="140"/>
      <c r="D352" s="140"/>
      <c r="E352" s="140"/>
      <c r="F352" s="140"/>
      <c r="G352" s="140"/>
    </row>
    <row r="353" spans="1:7" ht="15.75" customHeight="1">
      <c r="A353" s="126" t="s">
        <v>1103</v>
      </c>
      <c r="B353" s="140"/>
      <c r="C353" s="140"/>
      <c r="D353" s="140"/>
      <c r="E353" s="140"/>
      <c r="F353" s="140"/>
      <c r="G353" s="140"/>
    </row>
    <row r="354" spans="1:7" ht="6" customHeight="1">
      <c r="A354" s="117"/>
      <c r="B354" s="140"/>
      <c r="C354" s="140"/>
      <c r="D354" s="140"/>
      <c r="E354" s="164"/>
      <c r="F354" s="140"/>
      <c r="G354" s="140"/>
    </row>
    <row r="355" spans="1:7" ht="15.75" customHeight="1">
      <c r="A355" s="69" t="s">
        <v>1104</v>
      </c>
      <c r="B355" s="140"/>
      <c r="C355" s="140"/>
      <c r="D355" s="140"/>
      <c r="E355" s="164"/>
      <c r="F355" s="140"/>
      <c r="G355" s="140"/>
    </row>
    <row r="356" spans="1:7" ht="6" customHeight="1">
      <c r="A356" s="181"/>
      <c r="B356" s="140"/>
      <c r="C356" s="140"/>
      <c r="D356" s="140"/>
      <c r="E356" s="140"/>
      <c r="F356" s="140"/>
      <c r="G356" s="140"/>
    </row>
    <row r="357" spans="1:7" ht="15.75" customHeight="1">
      <c r="A357" s="117" t="s">
        <v>1105</v>
      </c>
      <c r="B357" s="140"/>
      <c r="C357" s="264"/>
      <c r="D357" s="68" t="s">
        <v>1915</v>
      </c>
      <c r="E357" s="301" t="s">
        <v>907</v>
      </c>
      <c r="F357" s="140"/>
      <c r="G357" s="140"/>
    </row>
    <row r="358" spans="1:7" ht="6" customHeight="1">
      <c r="A358" s="181"/>
      <c r="B358" s="140"/>
      <c r="C358" s="140"/>
      <c r="D358" s="140"/>
      <c r="E358" s="140"/>
      <c r="F358" s="140"/>
      <c r="G358" s="140"/>
    </row>
    <row r="359" spans="1:7" ht="15.75" customHeight="1">
      <c r="A359" s="69" t="s">
        <v>908</v>
      </c>
      <c r="B359" s="140"/>
      <c r="C359" s="140"/>
      <c r="D359" s="140"/>
      <c r="E359" s="140"/>
      <c r="F359" s="140"/>
      <c r="G359" s="140"/>
    </row>
    <row r="360" spans="1:7" ht="6" customHeight="1">
      <c r="A360" s="181"/>
      <c r="B360" s="140"/>
      <c r="C360" s="140"/>
      <c r="D360" s="140"/>
      <c r="E360" s="140"/>
      <c r="F360" s="140"/>
      <c r="G360" s="140"/>
    </row>
    <row r="361" spans="1:7" ht="15.75" customHeight="1">
      <c r="A361" s="302" t="s">
        <v>909</v>
      </c>
      <c r="B361" s="140"/>
      <c r="C361" s="140"/>
      <c r="D361" s="140"/>
      <c r="E361" s="140"/>
      <c r="F361" s="140"/>
      <c r="G361" s="140"/>
    </row>
    <row r="362" spans="1:7" ht="6" customHeight="1">
      <c r="A362" s="181"/>
      <c r="B362" s="140"/>
      <c r="C362" s="140"/>
      <c r="D362" s="140"/>
      <c r="E362" s="140"/>
      <c r="F362" s="140"/>
      <c r="G362" s="140"/>
    </row>
    <row r="363" spans="1:7" ht="15.75" customHeight="1">
      <c r="A363" s="68" t="s">
        <v>1106</v>
      </c>
      <c r="B363" s="106">
        <f>+(B282-B281)/(2*TAN(H278*PI()/180))</f>
        <v>0.17320508075688776</v>
      </c>
      <c r="C363" s="303" t="s">
        <v>699</v>
      </c>
      <c r="D363" s="140"/>
      <c r="E363" s="140"/>
      <c r="F363" s="140"/>
      <c r="G363" s="140"/>
    </row>
    <row r="364" spans="1:7" ht="6" customHeight="1">
      <c r="A364" s="68"/>
      <c r="B364" s="106"/>
      <c r="C364" s="303"/>
      <c r="D364" s="140"/>
      <c r="E364" s="140"/>
      <c r="F364" s="140"/>
      <c r="G364" s="140"/>
    </row>
    <row r="365" spans="1:7" ht="15.75" customHeight="1">
      <c r="A365" s="66" t="s">
        <v>1107</v>
      </c>
      <c r="B365" s="140"/>
      <c r="C365" s="264"/>
      <c r="D365" s="106">
        <f>+(1/3)*PI()*B363*((B281/2)^2+(B282/2)^2+(B281/2*B282/2))</f>
        <v>0.012696595549639526</v>
      </c>
      <c r="E365" s="120" t="s">
        <v>109</v>
      </c>
      <c r="F365" s="140"/>
      <c r="G365" s="140"/>
    </row>
    <row r="366" spans="1:7" ht="6" customHeight="1">
      <c r="A366" s="66"/>
      <c r="B366" s="140"/>
      <c r="C366" s="106"/>
      <c r="E366" s="140"/>
      <c r="F366" s="140"/>
      <c r="G366" s="140"/>
    </row>
    <row r="367" spans="1:7" ht="15.75" customHeight="1">
      <c r="A367" s="68" t="s">
        <v>911</v>
      </c>
      <c r="B367" s="124">
        <f>+E281*D365</f>
        <v>103.3375911785161</v>
      </c>
      <c r="C367" s="69" t="s">
        <v>704</v>
      </c>
      <c r="D367" s="303" t="s">
        <v>912</v>
      </c>
      <c r="E367" s="140"/>
      <c r="F367" s="140"/>
      <c r="G367" s="140"/>
    </row>
    <row r="368" spans="1:7" ht="15.75" customHeight="1">
      <c r="A368" s="163"/>
      <c r="B368" s="140"/>
      <c r="C368" s="69"/>
      <c r="D368" s="304" t="s">
        <v>1108</v>
      </c>
      <c r="E368" s="140"/>
      <c r="F368" s="140"/>
      <c r="G368" s="140"/>
    </row>
    <row r="369" spans="1:7" ht="6" customHeight="1">
      <c r="A369" s="163"/>
      <c r="B369" s="140"/>
      <c r="C369" s="69"/>
      <c r="D369" s="69"/>
      <c r="E369" s="140"/>
      <c r="F369" s="140"/>
      <c r="G369" s="140"/>
    </row>
    <row r="370" spans="1:7" ht="15.75" customHeight="1">
      <c r="A370" s="126" t="s">
        <v>1109</v>
      </c>
      <c r="B370" s="140"/>
      <c r="C370" s="69"/>
      <c r="D370" s="69"/>
      <c r="E370" s="140"/>
      <c r="F370" s="140"/>
      <c r="G370" s="140"/>
    </row>
    <row r="371" spans="1:7" ht="6" customHeight="1">
      <c r="A371" s="163"/>
      <c r="B371" s="140"/>
      <c r="C371" s="69"/>
      <c r="D371" s="69"/>
      <c r="E371" s="140"/>
      <c r="F371" s="140"/>
      <c r="G371" s="140"/>
    </row>
    <row r="372" spans="1:7" ht="15.75" customHeight="1">
      <c r="A372" s="66" t="s">
        <v>1110</v>
      </c>
      <c r="B372" s="140"/>
      <c r="C372" s="264"/>
      <c r="D372" s="106">
        <f>+G322-B345-B343-B327^2/(2*E284)-B278</f>
        <v>1.839409890083033</v>
      </c>
      <c r="E372" s="69" t="s">
        <v>699</v>
      </c>
      <c r="F372" s="140"/>
      <c r="G372" s="140"/>
    </row>
    <row r="373" spans="1:7" ht="6" customHeight="1">
      <c r="A373" s="66"/>
      <c r="B373" s="140"/>
      <c r="C373" s="106"/>
      <c r="D373" s="69"/>
      <c r="E373" s="140"/>
      <c r="F373" s="140"/>
      <c r="G373" s="140"/>
    </row>
    <row r="374" spans="1:7" ht="15.75" customHeight="1">
      <c r="A374" s="107" t="s">
        <v>1111</v>
      </c>
      <c r="B374" s="124">
        <f>+E281*D372*B326</f>
        <v>470.3264882807204</v>
      </c>
      <c r="C374" s="69" t="s">
        <v>704</v>
      </c>
      <c r="D374" s="69" t="s">
        <v>917</v>
      </c>
      <c r="E374" s="140"/>
      <c r="F374" s="140"/>
      <c r="G374" s="140"/>
    </row>
    <row r="375" spans="1:7" ht="15.75" customHeight="1">
      <c r="A375" s="107"/>
      <c r="B375" s="124"/>
      <c r="C375" s="69"/>
      <c r="D375" s="69" t="s">
        <v>918</v>
      </c>
      <c r="E375" s="140"/>
      <c r="F375" s="140"/>
      <c r="G375" s="140"/>
    </row>
    <row r="376" spans="1:7" ht="15.75" customHeight="1">
      <c r="A376" s="107"/>
      <c r="B376" s="124"/>
      <c r="C376" s="69"/>
      <c r="D376" s="69" t="s">
        <v>1112</v>
      </c>
      <c r="E376" s="140"/>
      <c r="F376" s="140"/>
      <c r="G376" s="140"/>
    </row>
    <row r="377" spans="1:7" ht="6" customHeight="1">
      <c r="A377" s="107"/>
      <c r="B377" s="124"/>
      <c r="C377" s="69"/>
      <c r="D377" s="181"/>
      <c r="E377" s="140"/>
      <c r="F377" s="140"/>
      <c r="G377" s="140"/>
    </row>
    <row r="378" spans="1:7" ht="15.75" customHeight="1">
      <c r="A378" s="126" t="s">
        <v>1113</v>
      </c>
      <c r="B378" s="124"/>
      <c r="C378" s="69"/>
      <c r="D378" s="181"/>
      <c r="E378" s="140"/>
      <c r="F378" s="140"/>
      <c r="G378" s="306"/>
    </row>
    <row r="379" spans="1:7" ht="6" customHeight="1">
      <c r="A379" s="107"/>
      <c r="B379" s="124"/>
      <c r="C379" s="69"/>
      <c r="D379" s="181"/>
      <c r="E379" s="140"/>
      <c r="F379" s="140"/>
      <c r="G379" s="140"/>
    </row>
    <row r="380" spans="1:7" ht="15.75" customHeight="1">
      <c r="A380" s="68" t="s">
        <v>1440</v>
      </c>
      <c r="B380" s="124">
        <f>+E280*C310*B327</f>
        <v>2078.5599215712164</v>
      </c>
      <c r="C380" s="69" t="s">
        <v>704</v>
      </c>
      <c r="D380" s="69" t="s">
        <v>922</v>
      </c>
      <c r="E380" s="140"/>
      <c r="F380" s="140"/>
      <c r="G380" s="140"/>
    </row>
    <row r="381" spans="1:7" ht="15.75" customHeight="1">
      <c r="A381" s="68"/>
      <c r="B381" s="124"/>
      <c r="C381" s="69"/>
      <c r="D381" s="69" t="s">
        <v>1441</v>
      </c>
      <c r="E381" s="140"/>
      <c r="F381" s="140"/>
      <c r="G381" s="140"/>
    </row>
    <row r="382" spans="1:7" ht="6" customHeight="1">
      <c r="A382" s="140"/>
      <c r="B382" s="140"/>
      <c r="C382" s="140"/>
      <c r="D382" s="140"/>
      <c r="E382" s="140"/>
      <c r="F382" s="140"/>
      <c r="G382" s="140"/>
    </row>
    <row r="383" spans="1:7" ht="15.75" customHeight="1">
      <c r="A383" s="126" t="s">
        <v>1442</v>
      </c>
      <c r="B383" s="140"/>
      <c r="C383" s="140"/>
      <c r="D383" s="140"/>
      <c r="E383" s="140"/>
      <c r="F383" s="140"/>
      <c r="G383" s="140"/>
    </row>
    <row r="384" spans="1:7" ht="6" customHeight="1">
      <c r="A384" s="140"/>
      <c r="B384" s="140"/>
      <c r="C384" s="140"/>
      <c r="D384" s="140"/>
      <c r="E384" s="140"/>
      <c r="F384" s="140"/>
      <c r="G384" s="140"/>
    </row>
    <row r="385" spans="1:7" ht="15.75" customHeight="1">
      <c r="A385" s="68" t="s">
        <v>1443</v>
      </c>
      <c r="B385" s="106">
        <f>+B278-B363*SIN(H279*PI()/180)</f>
        <v>15.905463694432958</v>
      </c>
      <c r="C385" s="69" t="s">
        <v>699</v>
      </c>
      <c r="D385" s="140"/>
      <c r="E385" s="140"/>
      <c r="F385" s="140"/>
      <c r="G385" s="140"/>
    </row>
    <row r="386" spans="1:7" ht="6" customHeight="1">
      <c r="A386" s="140"/>
      <c r="B386" s="140"/>
      <c r="C386" s="140"/>
      <c r="D386" s="140"/>
      <c r="E386" s="140"/>
      <c r="F386" s="140"/>
      <c r="G386" s="140"/>
    </row>
    <row r="387" spans="1:7" ht="15.75" customHeight="1">
      <c r="A387" s="69" t="s">
        <v>1444</v>
      </c>
      <c r="B387" s="140"/>
      <c r="C387" s="140"/>
      <c r="D387" s="140"/>
      <c r="F387" s="106">
        <f>+G322-B345-B343-F345-F327^2/(2*E284)-B385</f>
        <v>4.875658580645323</v>
      </c>
      <c r="G387" s="69" t="s">
        <v>699</v>
      </c>
    </row>
    <row r="388" spans="1:7" ht="6" customHeight="1">
      <c r="A388" s="69"/>
      <c r="B388" s="140"/>
      <c r="C388" s="140"/>
      <c r="D388" s="140"/>
      <c r="E388" s="106"/>
      <c r="F388" s="69"/>
      <c r="G388" s="140"/>
    </row>
    <row r="389" spans="1:7" ht="15.75" customHeight="1">
      <c r="A389" s="107" t="s">
        <v>1445</v>
      </c>
      <c r="B389" s="124">
        <f>+E281*F387*F326</f>
        <v>4986.710989549286</v>
      </c>
      <c r="C389" s="69" t="s">
        <v>704</v>
      </c>
      <c r="D389" s="69" t="s">
        <v>917</v>
      </c>
      <c r="E389" s="140"/>
      <c r="F389" s="140"/>
      <c r="G389" s="140"/>
    </row>
    <row r="390" spans="1:7" ht="15.75" customHeight="1">
      <c r="A390" s="107"/>
      <c r="B390" s="124"/>
      <c r="C390" s="69"/>
      <c r="D390" s="69" t="s">
        <v>918</v>
      </c>
      <c r="E390" s="140"/>
      <c r="F390" s="140"/>
      <c r="G390" s="140"/>
    </row>
    <row r="391" spans="1:7" ht="15.75" customHeight="1">
      <c r="A391" s="107"/>
      <c r="B391" s="124"/>
      <c r="C391" s="69"/>
      <c r="D391" s="69" t="s">
        <v>1446</v>
      </c>
      <c r="E391" s="140"/>
      <c r="F391" s="140"/>
      <c r="G391" s="140"/>
    </row>
    <row r="392" spans="1:7" ht="6" customHeight="1">
      <c r="A392" s="107"/>
      <c r="B392" s="124"/>
      <c r="C392" s="69"/>
      <c r="D392" s="181"/>
      <c r="E392" s="140"/>
      <c r="F392" s="140"/>
      <c r="G392" s="140"/>
    </row>
    <row r="393" spans="1:7" ht="15.75" customHeight="1">
      <c r="A393" s="126" t="s">
        <v>1447</v>
      </c>
      <c r="B393" s="124"/>
      <c r="C393" s="69"/>
      <c r="D393" s="181"/>
      <c r="E393" s="140"/>
      <c r="F393" s="140"/>
      <c r="G393" s="140"/>
    </row>
    <row r="394" spans="1:7" ht="6" customHeight="1">
      <c r="A394" s="107"/>
      <c r="B394" s="124"/>
      <c r="C394" s="69"/>
      <c r="D394" s="140"/>
      <c r="E394" s="140"/>
      <c r="F394" s="140"/>
      <c r="G394" s="140"/>
    </row>
    <row r="395" spans="1:7" ht="15.75" customHeight="1">
      <c r="A395" s="68" t="s">
        <v>1448</v>
      </c>
      <c r="B395" s="124">
        <f>+E280*C310*F327</f>
        <v>519.6399803928041</v>
      </c>
      <c r="C395" s="69" t="s">
        <v>704</v>
      </c>
      <c r="D395" s="69" t="s">
        <v>922</v>
      </c>
      <c r="E395" s="140"/>
      <c r="F395" s="140"/>
      <c r="G395" s="140"/>
    </row>
    <row r="396" spans="1:7" ht="15.75" customHeight="1">
      <c r="A396" s="140"/>
      <c r="B396" s="140"/>
      <c r="C396" s="140"/>
      <c r="D396" s="69" t="s">
        <v>1449</v>
      </c>
      <c r="E396" s="140"/>
      <c r="F396" s="140"/>
      <c r="G396" s="140"/>
    </row>
    <row r="397" spans="1:7" ht="6" customHeight="1">
      <c r="A397" s="140"/>
      <c r="B397" s="140"/>
      <c r="C397" s="140"/>
      <c r="D397" s="181"/>
      <c r="E397" s="140"/>
      <c r="F397" s="140"/>
      <c r="G397" s="140"/>
    </row>
    <row r="398" spans="1:7" ht="15.75" customHeight="1">
      <c r="A398" s="69" t="s">
        <v>931</v>
      </c>
      <c r="B398" s="124"/>
      <c r="C398" s="69"/>
      <c r="D398" s="181"/>
      <c r="E398" s="140"/>
      <c r="F398" s="140"/>
      <c r="G398" s="140"/>
    </row>
    <row r="399" spans="1:7" ht="6" customHeight="1">
      <c r="A399" s="140"/>
      <c r="B399" s="140"/>
      <c r="C399" s="140"/>
      <c r="D399" s="140"/>
      <c r="E399" s="140"/>
      <c r="F399" s="140"/>
      <c r="G399" s="140"/>
    </row>
    <row r="400" spans="1:7" ht="15.75" customHeight="1">
      <c r="A400" s="161" t="s">
        <v>1450</v>
      </c>
      <c r="B400" s="268"/>
      <c r="C400" s="276">
        <f>+B380+B374-B395-B389+B367*SIN(H279*PI()/180)</f>
        <v>-2901.062322618111</v>
      </c>
      <c r="D400" s="161" t="s">
        <v>704</v>
      </c>
      <c r="E400" s="307"/>
      <c r="F400" s="264"/>
      <c r="G400" s="264"/>
    </row>
    <row r="401" spans="1:7" ht="6" customHeight="1">
      <c r="A401" s="140"/>
      <c r="B401" s="140"/>
      <c r="C401" s="69"/>
      <c r="D401" s="140"/>
      <c r="E401" s="307"/>
      <c r="F401" s="124"/>
      <c r="G401" s="69"/>
    </row>
    <row r="402" spans="1:7" ht="15.75" customHeight="1">
      <c r="A402" s="69" t="s">
        <v>1451</v>
      </c>
      <c r="B402" s="140"/>
      <c r="C402" s="181"/>
      <c r="D402" s="295"/>
      <c r="E402" s="69"/>
      <c r="F402" s="140"/>
      <c r="G402" s="140"/>
    </row>
    <row r="403" spans="1:7" ht="6" customHeight="1">
      <c r="A403" s="140"/>
      <c r="B403" s="140"/>
      <c r="C403" s="140"/>
      <c r="D403" s="140"/>
      <c r="E403" s="140"/>
      <c r="F403" s="69"/>
      <c r="G403" s="69"/>
    </row>
    <row r="404" spans="1:7" ht="15.75" customHeight="1">
      <c r="A404" s="159" t="s">
        <v>1452</v>
      </c>
      <c r="B404" s="276">
        <f>+-B367*COS(H279*PI()/180)</f>
        <v>-86.58778989398843</v>
      </c>
      <c r="C404" s="161" t="s">
        <v>704</v>
      </c>
      <c r="D404" s="140"/>
      <c r="E404" s="264"/>
      <c r="F404" s="264"/>
      <c r="G404" s="140"/>
    </row>
    <row r="405" spans="1:7" ht="6" customHeight="1">
      <c r="A405" s="140"/>
      <c r="B405" s="140"/>
      <c r="C405" s="69"/>
      <c r="D405" s="295"/>
      <c r="E405" s="69"/>
      <c r="F405" s="181"/>
      <c r="G405" s="140"/>
    </row>
    <row r="406" spans="1:7" ht="15.75" customHeight="1">
      <c r="A406" s="69" t="s">
        <v>680</v>
      </c>
      <c r="B406" s="140"/>
      <c r="C406" s="181"/>
      <c r="D406" s="140"/>
      <c r="E406" s="140"/>
      <c r="F406" s="181"/>
      <c r="G406" s="140"/>
    </row>
    <row r="407" spans="1:7" ht="6" customHeight="1">
      <c r="A407" s="140"/>
      <c r="B407" s="140"/>
      <c r="C407" s="181"/>
      <c r="D407" s="140"/>
      <c r="E407" s="140"/>
      <c r="F407" s="181"/>
      <c r="G407" s="140"/>
    </row>
    <row r="408" spans="1:7" ht="15.75" customHeight="1">
      <c r="A408" s="159" t="s">
        <v>1453</v>
      </c>
      <c r="B408" s="276">
        <f>+SQRT(ABS(C400)^2+ABS(B404)^2)</f>
        <v>2902.354224603385</v>
      </c>
      <c r="C408" s="161" t="s">
        <v>704</v>
      </c>
      <c r="D408" s="140"/>
      <c r="E408" s="140"/>
      <c r="F408" s="181"/>
      <c r="G408" s="140"/>
    </row>
    <row r="409" spans="1:7" ht="6" customHeight="1">
      <c r="A409" s="272"/>
      <c r="B409" s="272"/>
      <c r="C409" s="272"/>
      <c r="D409" s="272"/>
      <c r="E409" s="272"/>
      <c r="F409" s="272"/>
      <c r="G409" s="272"/>
    </row>
    <row r="410" spans="1:9" ht="6" customHeight="1">
      <c r="A410" s="131"/>
      <c r="B410" s="131"/>
      <c r="C410" s="131"/>
      <c r="D410" s="131"/>
      <c r="E410" s="131"/>
      <c r="F410" s="131"/>
      <c r="G410" s="131"/>
      <c r="H410" s="131"/>
      <c r="I410" s="131"/>
    </row>
    <row r="411" ht="6" customHeight="1"/>
    <row r="412" ht="15.75" customHeight="1">
      <c r="A412" s="85" t="s">
        <v>1454</v>
      </c>
    </row>
    <row r="413" ht="6" customHeight="1">
      <c r="A413" s="1"/>
    </row>
    <row r="414" ht="15.75" customHeight="1">
      <c r="A414" s="5" t="s">
        <v>112</v>
      </c>
    </row>
    <row r="415" ht="6" customHeight="1"/>
    <row r="416" spans="1:9" ht="15.75" customHeight="1">
      <c r="A416" s="1" t="s">
        <v>2256</v>
      </c>
      <c r="B416" s="3">
        <v>9</v>
      </c>
      <c r="C416" s="22" t="s">
        <v>699</v>
      </c>
      <c r="D416" s="1" t="s">
        <v>2257</v>
      </c>
      <c r="E416" s="3">
        <v>0.15</v>
      </c>
      <c r="F416" s="4" t="s">
        <v>699</v>
      </c>
      <c r="G416" s="1" t="s">
        <v>1017</v>
      </c>
      <c r="H416" s="1">
        <v>9.806</v>
      </c>
      <c r="I416" s="25" t="s">
        <v>1018</v>
      </c>
    </row>
    <row r="417" spans="1:9" ht="15.75" customHeight="1">
      <c r="A417" s="1" t="s">
        <v>2382</v>
      </c>
      <c r="B417" s="3">
        <v>11.5</v>
      </c>
      <c r="C417" s="22" t="s">
        <v>699</v>
      </c>
      <c r="D417" s="2" t="s">
        <v>2258</v>
      </c>
      <c r="E417" s="215">
        <f>1*0.001</f>
        <v>0.001</v>
      </c>
      <c r="F417" s="4" t="s">
        <v>699</v>
      </c>
      <c r="G417" s="2" t="s">
        <v>2260</v>
      </c>
      <c r="H417" s="6">
        <v>45</v>
      </c>
      <c r="I417" s="264" t="s">
        <v>706</v>
      </c>
    </row>
    <row r="418" spans="1:9" ht="15.75" customHeight="1">
      <c r="A418" s="1" t="s">
        <v>1726</v>
      </c>
      <c r="B418" s="3">
        <v>13</v>
      </c>
      <c r="C418" s="22" t="s">
        <v>699</v>
      </c>
      <c r="D418" s="2" t="s">
        <v>2259</v>
      </c>
      <c r="E418" s="215">
        <f>5*0.0001</f>
        <v>0.0005</v>
      </c>
      <c r="F418" s="4" t="s">
        <v>699</v>
      </c>
      <c r="G418" s="2" t="s">
        <v>705</v>
      </c>
      <c r="H418" s="6">
        <v>1</v>
      </c>
      <c r="I418" s="264"/>
    </row>
    <row r="419" spans="1:8" ht="15.75" customHeight="1">
      <c r="A419" s="1" t="s">
        <v>1016</v>
      </c>
      <c r="B419" s="3">
        <v>4</v>
      </c>
      <c r="C419" s="22" t="s">
        <v>699</v>
      </c>
      <c r="D419" s="75" t="s">
        <v>710</v>
      </c>
      <c r="E419" s="3">
        <f>+(B423-E416)/(2*TAN(RADIANS(5)))</f>
        <v>0.28575130756903366</v>
      </c>
      <c r="F419" s="4" t="s">
        <v>699</v>
      </c>
      <c r="G419" s="107" t="s">
        <v>2457</v>
      </c>
      <c r="H419" s="68">
        <v>1</v>
      </c>
    </row>
    <row r="420" spans="1:6" ht="15.75" customHeight="1">
      <c r="A420" s="1" t="s">
        <v>892</v>
      </c>
      <c r="B420" s="3">
        <v>11</v>
      </c>
      <c r="C420" s="4" t="s">
        <v>699</v>
      </c>
      <c r="D420" s="2" t="s">
        <v>525</v>
      </c>
      <c r="E420" s="68">
        <v>7845</v>
      </c>
      <c r="F420" s="25" t="s">
        <v>713</v>
      </c>
    </row>
    <row r="421" spans="1:6" ht="15.75" customHeight="1">
      <c r="A421" s="1" t="s">
        <v>894</v>
      </c>
      <c r="B421" s="3">
        <v>20</v>
      </c>
      <c r="C421" s="4" t="s">
        <v>699</v>
      </c>
      <c r="D421" s="2" t="s">
        <v>528</v>
      </c>
      <c r="E421" s="166">
        <v>2.3E-06</v>
      </c>
      <c r="F421" s="25" t="s">
        <v>893</v>
      </c>
    </row>
    <row r="422" spans="1:5" ht="15.75" customHeight="1">
      <c r="A422" s="1" t="s">
        <v>2515</v>
      </c>
      <c r="B422" s="3">
        <v>0.25</v>
      </c>
      <c r="C422" s="4" t="s">
        <v>699</v>
      </c>
      <c r="D422" s="2" t="s">
        <v>526</v>
      </c>
      <c r="E422" s="1">
        <v>0.78</v>
      </c>
    </row>
    <row r="423" spans="1:8" ht="15.75" customHeight="1">
      <c r="A423" s="1" t="s">
        <v>2516</v>
      </c>
      <c r="B423" s="3">
        <v>0.2</v>
      </c>
      <c r="C423" s="4" t="s">
        <v>699</v>
      </c>
      <c r="D423" s="1" t="s">
        <v>1353</v>
      </c>
      <c r="E423" s="1">
        <v>0.8</v>
      </c>
      <c r="G423" s="264"/>
      <c r="H423" s="264"/>
    </row>
    <row r="424" spans="7:8" ht="6" customHeight="1">
      <c r="G424" s="264"/>
      <c r="H424" s="264"/>
    </row>
    <row r="425" spans="1:8" ht="15.75" customHeight="1">
      <c r="A425" s="5" t="s">
        <v>1455</v>
      </c>
      <c r="B425" s="264"/>
      <c r="C425" s="264"/>
      <c r="D425" s="264"/>
      <c r="F425" s="280"/>
      <c r="G425" s="264"/>
      <c r="H425" s="264"/>
    </row>
    <row r="426" spans="1:8" ht="15.75" customHeight="1">
      <c r="A426" s="4" t="s">
        <v>1456</v>
      </c>
      <c r="B426" s="264"/>
      <c r="C426" s="264"/>
      <c r="D426" s="264"/>
      <c r="F426" s="280"/>
      <c r="G426" s="264"/>
      <c r="H426" s="264"/>
    </row>
    <row r="427" spans="1:8" ht="6" customHeight="1">
      <c r="A427" s="4"/>
      <c r="B427" s="264"/>
      <c r="C427" s="264"/>
      <c r="D427" s="264"/>
      <c r="F427" s="280"/>
      <c r="G427" s="264"/>
      <c r="H427" s="264"/>
    </row>
    <row r="428" spans="1:8" ht="15.75" customHeight="1">
      <c r="A428" s="5" t="s">
        <v>113</v>
      </c>
      <c r="B428" s="264"/>
      <c r="C428" s="264"/>
      <c r="D428" s="264"/>
      <c r="F428" s="280"/>
      <c r="G428" s="264"/>
      <c r="H428" s="264"/>
    </row>
    <row r="429" spans="1:8" ht="6" customHeight="1">
      <c r="A429" s="264"/>
      <c r="B429" s="264"/>
      <c r="C429" s="264"/>
      <c r="D429" s="264"/>
      <c r="E429" s="264"/>
      <c r="F429" s="264"/>
      <c r="G429" s="264"/>
      <c r="H429" s="264"/>
    </row>
    <row r="430" spans="1:8" ht="15.75" customHeight="1">
      <c r="A430" s="126" t="s">
        <v>1729</v>
      </c>
      <c r="B430" s="264"/>
      <c r="C430" s="264"/>
      <c r="D430" s="264"/>
      <c r="E430" s="264"/>
      <c r="F430" s="264"/>
      <c r="G430" s="264"/>
      <c r="H430" s="264"/>
    </row>
    <row r="431" spans="1:8" ht="6" customHeight="1">
      <c r="A431" s="264"/>
      <c r="B431" s="264"/>
      <c r="C431" s="264"/>
      <c r="D431" s="264"/>
      <c r="E431" s="264"/>
      <c r="F431" s="264"/>
      <c r="G431" s="264"/>
      <c r="H431" s="264"/>
    </row>
    <row r="432" spans="1:8" ht="15.75" customHeight="1">
      <c r="A432" s="14" t="s">
        <v>1457</v>
      </c>
      <c r="B432" s="264"/>
      <c r="C432" s="264"/>
      <c r="D432" s="264"/>
      <c r="E432" s="264"/>
      <c r="F432" s="264"/>
      <c r="G432" s="264"/>
      <c r="H432" s="264"/>
    </row>
    <row r="433" spans="1:8" ht="6" customHeight="1">
      <c r="A433" s="264"/>
      <c r="B433" s="264"/>
      <c r="C433" s="264"/>
      <c r="D433" s="264"/>
      <c r="E433" s="264"/>
      <c r="F433" s="264"/>
      <c r="G433" s="264"/>
      <c r="H433" s="264"/>
    </row>
    <row r="434" spans="1:8" ht="15.75" customHeight="1">
      <c r="A434" s="264"/>
      <c r="B434" s="266" t="s">
        <v>1732</v>
      </c>
      <c r="C434" s="264"/>
      <c r="D434" s="264"/>
      <c r="E434" s="264"/>
      <c r="F434" s="264"/>
      <c r="G434" s="264"/>
      <c r="H434" s="264"/>
    </row>
    <row r="435" spans="1:8" ht="6" customHeight="1">
      <c r="A435" s="264"/>
      <c r="B435" s="264"/>
      <c r="C435" s="264"/>
      <c r="D435" s="264"/>
      <c r="E435" s="264"/>
      <c r="F435" s="264"/>
      <c r="G435" s="264"/>
      <c r="H435" s="264"/>
    </row>
    <row r="436" spans="1:8" ht="15.75" customHeight="1">
      <c r="A436" s="14" t="s">
        <v>1458</v>
      </c>
      <c r="B436" s="22"/>
      <c r="C436" s="22"/>
      <c r="D436" s="22"/>
      <c r="E436" s="22"/>
      <c r="F436" s="22"/>
      <c r="G436" s="22"/>
      <c r="H436" s="22"/>
    </row>
    <row r="437" spans="1:8" ht="6" customHeight="1">
      <c r="A437" s="264"/>
      <c r="B437" s="264"/>
      <c r="C437" s="264"/>
      <c r="D437" s="264"/>
      <c r="E437" s="264"/>
      <c r="F437" s="264"/>
      <c r="G437" s="264"/>
      <c r="H437" s="264"/>
    </row>
    <row r="438" spans="1:8" ht="15.75" customHeight="1">
      <c r="A438" s="264"/>
      <c r="B438" s="266" t="s">
        <v>1734</v>
      </c>
      <c r="C438" s="264"/>
      <c r="D438" s="264"/>
      <c r="E438" s="264"/>
      <c r="F438" s="264"/>
      <c r="G438" s="264"/>
      <c r="H438" s="264"/>
    </row>
    <row r="439" spans="1:8" ht="6" customHeight="1">
      <c r="A439" s="264"/>
      <c r="B439" s="264"/>
      <c r="C439" s="264"/>
      <c r="D439" s="264"/>
      <c r="E439" s="264"/>
      <c r="F439" s="264"/>
      <c r="G439" s="264"/>
      <c r="H439" s="264"/>
    </row>
    <row r="440" spans="1:8" ht="15.75" customHeight="1">
      <c r="A440" s="14" t="s">
        <v>1207</v>
      </c>
      <c r="B440" s="264"/>
      <c r="C440" s="264"/>
      <c r="D440" s="264"/>
      <c r="E440" s="264"/>
      <c r="F440" s="264"/>
      <c r="G440" s="264"/>
      <c r="H440" s="264"/>
    </row>
    <row r="441" spans="1:8" ht="6" customHeight="1">
      <c r="A441" s="264"/>
      <c r="B441" s="264"/>
      <c r="C441" s="264"/>
      <c r="D441" s="264"/>
      <c r="E441" s="264"/>
      <c r="F441" s="264"/>
      <c r="G441" s="264"/>
      <c r="H441" s="264"/>
    </row>
    <row r="442" spans="1:9" ht="15.75" customHeight="1">
      <c r="A442" s="68" t="s">
        <v>1735</v>
      </c>
      <c r="B442" s="3">
        <f>+PI()*E416^2/4</f>
        <v>0.017671458676442587</v>
      </c>
      <c r="C442" s="28" t="s">
        <v>108</v>
      </c>
      <c r="D442" s="12" t="s">
        <v>1736</v>
      </c>
      <c r="E442" s="23" t="s">
        <v>1459</v>
      </c>
      <c r="F442" s="268"/>
      <c r="G442" s="268"/>
      <c r="H442" s="8">
        <f>+E423*B442*SQRT(2*H416*(B418-B417))/SIN(RADIANS(H417))</f>
        <v>0.10843861351928794</v>
      </c>
      <c r="I442" s="161" t="s">
        <v>2374</v>
      </c>
    </row>
    <row r="443" spans="1:8" ht="6" customHeight="1">
      <c r="A443" s="264"/>
      <c r="B443" s="264"/>
      <c r="C443" s="264"/>
      <c r="D443" s="264"/>
      <c r="E443" s="264"/>
      <c r="F443" s="264"/>
      <c r="G443" s="264"/>
      <c r="H443" s="264"/>
    </row>
    <row r="444" spans="1:8" ht="15.75" customHeight="1">
      <c r="A444" s="126" t="s">
        <v>1478</v>
      </c>
      <c r="B444" s="264"/>
      <c r="C444" s="264"/>
      <c r="D444" s="264"/>
      <c r="E444" s="264"/>
      <c r="F444" s="264"/>
      <c r="G444" s="264"/>
      <c r="H444" s="264"/>
    </row>
    <row r="445" spans="1:8" ht="6" customHeight="1">
      <c r="A445" s="264"/>
      <c r="B445" s="264"/>
      <c r="C445" s="264"/>
      <c r="D445" s="264"/>
      <c r="E445" s="264"/>
      <c r="F445" s="264"/>
      <c r="G445" s="264"/>
      <c r="H445" s="264"/>
    </row>
    <row r="446" spans="1:8" ht="15.75" customHeight="1">
      <c r="A446" s="14" t="s">
        <v>1269</v>
      </c>
      <c r="B446" s="264"/>
      <c r="C446" s="264"/>
      <c r="D446" s="264"/>
      <c r="E446" s="264"/>
      <c r="F446" s="264"/>
      <c r="G446" s="264"/>
      <c r="H446" s="264"/>
    </row>
    <row r="447" spans="1:8" ht="6" customHeight="1">
      <c r="A447" s="264"/>
      <c r="B447" s="264"/>
      <c r="C447" s="264"/>
      <c r="D447" s="264"/>
      <c r="E447" s="264"/>
      <c r="F447" s="264"/>
      <c r="G447" s="264"/>
      <c r="H447" s="264"/>
    </row>
    <row r="448" spans="1:8" ht="15.75" customHeight="1">
      <c r="A448" s="264"/>
      <c r="B448" s="266" t="s">
        <v>2568</v>
      </c>
      <c r="C448" s="264"/>
      <c r="D448" s="264"/>
      <c r="E448" s="264"/>
      <c r="F448" s="264"/>
      <c r="G448" s="264"/>
      <c r="H448" s="264"/>
    </row>
    <row r="449" spans="1:8" ht="6" customHeight="1">
      <c r="A449" s="22"/>
      <c r="B449" s="264"/>
      <c r="C449" s="264"/>
      <c r="D449" s="264"/>
      <c r="E449" s="264"/>
      <c r="F449" s="264"/>
      <c r="G449" s="264"/>
      <c r="H449" s="264"/>
    </row>
    <row r="450" spans="1:8" ht="15.75" customHeight="1">
      <c r="A450" s="14" t="s">
        <v>2569</v>
      </c>
      <c r="B450" s="264"/>
      <c r="C450" s="264"/>
      <c r="D450" s="264"/>
      <c r="E450" s="264"/>
      <c r="F450" s="264"/>
      <c r="G450" s="264"/>
      <c r="H450" s="264"/>
    </row>
    <row r="451" spans="1:8" ht="6" customHeight="1">
      <c r="A451" s="264"/>
      <c r="B451" s="264"/>
      <c r="C451" s="264"/>
      <c r="D451" s="264"/>
      <c r="E451" s="264"/>
      <c r="F451" s="264"/>
      <c r="G451" s="264"/>
      <c r="H451" s="264"/>
    </row>
    <row r="452" spans="1:8" ht="15.75" customHeight="1">
      <c r="A452" s="267" t="s">
        <v>1300</v>
      </c>
      <c r="B452" s="264"/>
      <c r="C452" s="264"/>
      <c r="D452" s="264"/>
      <c r="E452" s="264"/>
      <c r="F452" s="264"/>
      <c r="G452" s="264"/>
      <c r="H452" s="264"/>
    </row>
    <row r="453" spans="1:8" ht="6" customHeight="1">
      <c r="A453" s="264"/>
      <c r="B453" s="264"/>
      <c r="C453" s="264"/>
      <c r="D453" s="264"/>
      <c r="E453" s="264"/>
      <c r="F453" s="264"/>
      <c r="G453" s="264"/>
      <c r="H453" s="264"/>
    </row>
    <row r="454" spans="1:8" ht="15.75" customHeight="1">
      <c r="A454" s="1" t="s">
        <v>1301</v>
      </c>
      <c r="B454" s="273">
        <f>4*H442/(PI()*E421*B422)</f>
        <v>240118.8363634964</v>
      </c>
      <c r="C454" s="264"/>
      <c r="D454" s="264"/>
      <c r="E454" s="1" t="s">
        <v>1486</v>
      </c>
      <c r="F454" s="273">
        <f>4*H442/(PI()*E421*B423)</f>
        <v>300148.5454543705</v>
      </c>
      <c r="G454" s="264"/>
      <c r="H454" s="264"/>
    </row>
    <row r="455" spans="1:8" ht="15.75" customHeight="1">
      <c r="A455" s="2" t="s">
        <v>1487</v>
      </c>
      <c r="B455" s="3">
        <f>+E417/B422</f>
        <v>0.004</v>
      </c>
      <c r="C455" s="264"/>
      <c r="D455" s="264"/>
      <c r="E455" s="2" t="s">
        <v>1488</v>
      </c>
      <c r="F455" s="3">
        <f>+E418/B423</f>
        <v>0.0025</v>
      </c>
      <c r="G455" s="264"/>
      <c r="H455" s="264"/>
    </row>
    <row r="456" spans="1:8" ht="15.75" customHeight="1">
      <c r="A456" s="2" t="s">
        <v>1489</v>
      </c>
      <c r="B456" s="19">
        <v>0.028861088493420978</v>
      </c>
      <c r="C456" s="84" t="s">
        <v>300</v>
      </c>
      <c r="D456" s="84"/>
      <c r="E456" s="2" t="s">
        <v>1491</v>
      </c>
      <c r="F456" s="19">
        <v>0.02537565372959595</v>
      </c>
      <c r="G456" s="84" t="s">
        <v>300</v>
      </c>
      <c r="H456" s="264"/>
    </row>
    <row r="457" spans="1:8" ht="15.75" customHeight="1">
      <c r="A457" s="125" t="s">
        <v>901</v>
      </c>
      <c r="B457" s="273">
        <f>1/SQRT(B456)+2*LOG10(2.51/(B454*SQRT(B456))+B455/3.71)</f>
        <v>-0.00010364527245076971</v>
      </c>
      <c r="C457" s="264"/>
      <c r="D457" s="264"/>
      <c r="E457" s="125" t="s">
        <v>901</v>
      </c>
      <c r="F457" s="273">
        <f>1/SQRT(F456)+2*LOG10(2.51/(F454*SQRT(F456))+F455/3.71)</f>
        <v>-0.0001398581935436738</v>
      </c>
      <c r="G457" s="264"/>
      <c r="H457" s="264"/>
    </row>
    <row r="458" spans="1:8" ht="15.75" customHeight="1">
      <c r="A458" s="125" t="s">
        <v>902</v>
      </c>
      <c r="B458" s="273"/>
      <c r="C458" s="22"/>
      <c r="D458" s="264"/>
      <c r="E458" s="125" t="s">
        <v>902</v>
      </c>
      <c r="F458" s="264"/>
      <c r="G458" s="273"/>
      <c r="H458" s="264"/>
    </row>
    <row r="459" spans="1:8" ht="6" customHeight="1">
      <c r="A459" s="264"/>
      <c r="B459" s="264"/>
      <c r="C459" s="264"/>
      <c r="D459" s="264"/>
      <c r="E459" s="264"/>
      <c r="F459" s="264"/>
      <c r="G459" s="264"/>
      <c r="H459" s="264"/>
    </row>
    <row r="460" spans="1:8" ht="15.75" customHeight="1">
      <c r="A460" s="4" t="s">
        <v>1907</v>
      </c>
      <c r="B460" s="2" t="s">
        <v>1494</v>
      </c>
      <c r="C460" s="274">
        <f>+B417+(B456/B422)*(H442^2)/(2*H416*(PI()*(B422^2)/4)^2)*B420+(F456/B423)*(H442^2)/(2*H416*(PI()*(B423^2)/4)^2)*B421+(H442^2)/(2*H416*(E423*B442)^2)-B416</f>
        <v>7.357559708440732</v>
      </c>
      <c r="D460" s="22" t="s">
        <v>699</v>
      </c>
      <c r="E460" s="264"/>
      <c r="F460" s="264"/>
      <c r="G460" s="264"/>
      <c r="H460" s="264"/>
    </row>
    <row r="461" spans="1:8" ht="6" customHeight="1">
      <c r="A461" s="264"/>
      <c r="B461" s="264"/>
      <c r="C461" s="264"/>
      <c r="D461" s="264"/>
      <c r="E461" s="264"/>
      <c r="F461" s="264"/>
      <c r="G461" s="264"/>
      <c r="H461" s="264"/>
    </row>
    <row r="462" spans="1:8" ht="15.75" customHeight="1">
      <c r="A462" s="22" t="s">
        <v>1302</v>
      </c>
      <c r="B462" s="264"/>
      <c r="C462" s="264"/>
      <c r="D462" s="264"/>
      <c r="E462" s="264"/>
      <c r="F462" s="264"/>
      <c r="G462" s="264"/>
      <c r="H462" s="264"/>
    </row>
    <row r="463" spans="1:8" ht="6" customHeight="1">
      <c r="A463" s="264"/>
      <c r="B463" s="264"/>
      <c r="C463" s="264"/>
      <c r="D463" s="264"/>
      <c r="E463" s="264"/>
      <c r="F463" s="264"/>
      <c r="G463" s="264"/>
      <c r="H463" s="264"/>
    </row>
    <row r="464" spans="1:8" ht="15.75" customHeight="1">
      <c r="A464" s="264"/>
      <c r="B464" s="23" t="s">
        <v>1213</v>
      </c>
      <c r="C464" s="268"/>
      <c r="D464" s="276">
        <f>+E420*H442*C460/E422</f>
        <v>8024.465173629317</v>
      </c>
      <c r="E464" s="270" t="s">
        <v>1214</v>
      </c>
      <c r="F464" s="264"/>
      <c r="G464" s="264"/>
      <c r="H464" s="264"/>
    </row>
    <row r="465" spans="1:8" ht="6" customHeight="1">
      <c r="A465" s="264"/>
      <c r="B465" s="264"/>
      <c r="C465" s="264"/>
      <c r="D465" s="264"/>
      <c r="E465" s="264"/>
      <c r="F465" s="264"/>
      <c r="G465" s="264"/>
      <c r="H465" s="264"/>
    </row>
    <row r="466" spans="1:8" ht="15.75" customHeight="1">
      <c r="A466" s="126" t="s">
        <v>1303</v>
      </c>
      <c r="B466" s="140"/>
      <c r="C466" s="140"/>
      <c r="D466" s="140"/>
      <c r="E466" s="140"/>
      <c r="F466" s="140"/>
      <c r="G466" s="140"/>
      <c r="H466" s="264"/>
    </row>
    <row r="467" spans="1:8" ht="6" customHeight="1">
      <c r="A467" s="117"/>
      <c r="B467" s="140"/>
      <c r="C467" s="140"/>
      <c r="D467" s="140"/>
      <c r="E467" s="164"/>
      <c r="F467" s="140"/>
      <c r="G467" s="140"/>
      <c r="H467" s="264"/>
    </row>
    <row r="468" spans="1:8" ht="15.75" customHeight="1">
      <c r="A468" s="69" t="s">
        <v>1304</v>
      </c>
      <c r="B468" s="140"/>
      <c r="C468" s="140"/>
      <c r="D468" s="140"/>
      <c r="E468" s="164"/>
      <c r="F468" s="140"/>
      <c r="G468" s="140"/>
      <c r="H468" s="264"/>
    </row>
    <row r="469" spans="1:8" ht="15.75" customHeight="1">
      <c r="A469" s="69" t="s">
        <v>1305</v>
      </c>
      <c r="B469" s="140"/>
      <c r="C469" s="140"/>
      <c r="D469" s="140"/>
      <c r="E469" s="140"/>
      <c r="F469" s="140"/>
      <c r="G469" s="140"/>
      <c r="H469" s="264"/>
    </row>
    <row r="470" spans="1:8" ht="6" customHeight="1">
      <c r="A470" s="181"/>
      <c r="B470" s="140"/>
      <c r="C470" s="140"/>
      <c r="D470" s="140"/>
      <c r="E470" s="140"/>
      <c r="F470" s="140"/>
      <c r="G470" s="140"/>
      <c r="H470" s="264"/>
    </row>
    <row r="471" spans="1:8" ht="15.75" customHeight="1">
      <c r="A471" s="117" t="s">
        <v>955</v>
      </c>
      <c r="B471" s="140"/>
      <c r="C471" s="264"/>
      <c r="D471" s="68" t="s">
        <v>1915</v>
      </c>
      <c r="E471" s="301" t="s">
        <v>907</v>
      </c>
      <c r="F471" s="140"/>
      <c r="G471" s="140"/>
      <c r="H471" s="264"/>
    </row>
    <row r="472" spans="1:8" ht="15.75" customHeight="1">
      <c r="A472" s="181"/>
      <c r="B472" s="140"/>
      <c r="C472" s="140"/>
      <c r="D472" s="140"/>
      <c r="E472" s="140"/>
      <c r="F472" s="140"/>
      <c r="G472" s="140"/>
      <c r="H472" s="264"/>
    </row>
    <row r="473" spans="1:8" ht="15.75" customHeight="1">
      <c r="A473" s="69" t="s">
        <v>908</v>
      </c>
      <c r="B473" s="140"/>
      <c r="C473" s="140"/>
      <c r="D473" s="140"/>
      <c r="E473" s="140"/>
      <c r="F473" s="140"/>
      <c r="G473" s="140"/>
      <c r="H473" s="264"/>
    </row>
    <row r="474" spans="1:8" ht="6" customHeight="1">
      <c r="A474" s="181"/>
      <c r="B474" s="140"/>
      <c r="C474" s="140"/>
      <c r="D474" s="140"/>
      <c r="E474" s="140"/>
      <c r="F474" s="140"/>
      <c r="G474" s="140"/>
      <c r="H474" s="264"/>
    </row>
    <row r="475" spans="1:8" ht="15.75" customHeight="1">
      <c r="A475" s="302" t="s">
        <v>909</v>
      </c>
      <c r="B475" s="140"/>
      <c r="C475" s="140"/>
      <c r="D475" s="140"/>
      <c r="E475" s="140"/>
      <c r="F475" s="140"/>
      <c r="G475" s="140"/>
      <c r="H475" s="264"/>
    </row>
    <row r="476" spans="1:8" ht="6" customHeight="1">
      <c r="A476" s="302"/>
      <c r="B476" s="140"/>
      <c r="C476" s="140"/>
      <c r="D476" s="140"/>
      <c r="E476" s="140"/>
      <c r="F476" s="140"/>
      <c r="G476" s="140"/>
      <c r="H476" s="264"/>
    </row>
    <row r="477" spans="1:9" ht="15.75" customHeight="1">
      <c r="A477" s="68" t="s">
        <v>2143</v>
      </c>
      <c r="B477" s="3">
        <f>+PI()*B423^2/4</f>
        <v>0.031415926535897934</v>
      </c>
      <c r="C477" s="28" t="s">
        <v>108</v>
      </c>
      <c r="D477" s="66" t="s">
        <v>1306</v>
      </c>
      <c r="F477" s="264"/>
      <c r="H477" s="3">
        <f>+B477*B421+(1/3)*PI()*((B423^2)/4+(E416^2)/4+B423*E416/4)</f>
        <v>0.65253497408938</v>
      </c>
      <c r="I477" s="120" t="s">
        <v>109</v>
      </c>
    </row>
    <row r="478" spans="1:8" ht="6" customHeight="1">
      <c r="A478" s="264"/>
      <c r="B478" s="264"/>
      <c r="C478" s="264"/>
      <c r="D478" s="264"/>
      <c r="E478" s="140"/>
      <c r="F478" s="140"/>
      <c r="G478" s="140"/>
      <c r="H478" s="264"/>
    </row>
    <row r="479" spans="1:8" ht="15.75" customHeight="1">
      <c r="A479" s="68" t="s">
        <v>911</v>
      </c>
      <c r="B479" s="124">
        <f>+E420*H477</f>
        <v>5119.136871731186</v>
      </c>
      <c r="C479" s="69" t="s">
        <v>704</v>
      </c>
      <c r="D479" s="303" t="s">
        <v>912</v>
      </c>
      <c r="F479" s="304"/>
      <c r="G479" s="140"/>
      <c r="H479" s="264"/>
    </row>
    <row r="480" spans="1:8" ht="15.75" customHeight="1">
      <c r="A480" s="163"/>
      <c r="B480" s="140"/>
      <c r="C480" s="69"/>
      <c r="D480" s="304" t="s">
        <v>913</v>
      </c>
      <c r="E480" s="140"/>
      <c r="F480" s="304"/>
      <c r="G480" s="140"/>
      <c r="H480" s="264"/>
    </row>
    <row r="481" spans="1:8" ht="6" customHeight="1">
      <c r="A481" s="163"/>
      <c r="B481" s="140"/>
      <c r="C481" s="69"/>
      <c r="D481" s="69"/>
      <c r="E481" s="140"/>
      <c r="F481" s="140"/>
      <c r="G481" s="140"/>
      <c r="H481" s="264"/>
    </row>
    <row r="482" spans="1:8" ht="15.75" customHeight="1">
      <c r="A482" s="126" t="s">
        <v>914</v>
      </c>
      <c r="B482" s="140"/>
      <c r="C482" s="69"/>
      <c r="D482" s="304"/>
      <c r="E482" s="140"/>
      <c r="F482" s="140"/>
      <c r="G482" s="140"/>
      <c r="H482" s="264"/>
    </row>
    <row r="483" spans="1:8" ht="6" customHeight="1">
      <c r="A483" s="163"/>
      <c r="B483" s="140"/>
      <c r="C483" s="69"/>
      <c r="D483" s="69"/>
      <c r="E483" s="140"/>
      <c r="F483" s="140"/>
      <c r="G483" s="140"/>
      <c r="H483" s="264"/>
    </row>
    <row r="484" spans="1:8" ht="15.75" customHeight="1">
      <c r="A484" s="66" t="s">
        <v>1307</v>
      </c>
      <c r="B484" s="140"/>
      <c r="C484" s="264"/>
      <c r="D484" s="106">
        <f>+B417+(H442^2)/(2*H416*(E423*B442)^2)+(F456/B423)*(H442^2)/(2*H416*B477^2)*B421-(H442^2)/(2*H416*B477^2)-B419</f>
        <v>11.434070964072953</v>
      </c>
      <c r="E484" s="69" t="s">
        <v>699</v>
      </c>
      <c r="F484" s="140"/>
      <c r="G484" s="140"/>
      <c r="H484" s="264"/>
    </row>
    <row r="485" spans="1:8" ht="6" customHeight="1">
      <c r="A485" s="66"/>
      <c r="B485" s="140"/>
      <c r="C485" s="106"/>
      <c r="D485" s="69"/>
      <c r="E485" s="140"/>
      <c r="F485" s="140"/>
      <c r="G485" s="140"/>
      <c r="H485" s="264"/>
    </row>
    <row r="486" spans="1:8" ht="15.75" customHeight="1">
      <c r="A486" s="107" t="s">
        <v>2188</v>
      </c>
      <c r="B486" s="124">
        <f>+E420*D484*B477</f>
        <v>2818.017617629375</v>
      </c>
      <c r="C486" s="69" t="s">
        <v>704</v>
      </c>
      <c r="D486" s="69" t="s">
        <v>917</v>
      </c>
      <c r="E486" s="140"/>
      <c r="F486" s="140"/>
      <c r="G486" s="140"/>
      <c r="H486" s="264"/>
    </row>
    <row r="487" spans="1:8" ht="15.75" customHeight="1">
      <c r="A487" s="107"/>
      <c r="B487" s="124"/>
      <c r="C487" s="69"/>
      <c r="D487" s="69" t="s">
        <v>918</v>
      </c>
      <c r="E487" s="140"/>
      <c r="F487" s="140"/>
      <c r="G487" s="140"/>
      <c r="H487" s="264"/>
    </row>
    <row r="488" spans="1:8" ht="15.75" customHeight="1">
      <c r="A488" s="107"/>
      <c r="B488" s="124"/>
      <c r="C488" s="69"/>
      <c r="D488" s="69" t="s">
        <v>919</v>
      </c>
      <c r="E488" s="140"/>
      <c r="F488" s="140"/>
      <c r="G488" s="140"/>
      <c r="H488" s="264"/>
    </row>
    <row r="489" spans="1:8" ht="6" customHeight="1">
      <c r="A489" s="107"/>
      <c r="B489" s="124"/>
      <c r="C489" s="69"/>
      <c r="D489" s="181"/>
      <c r="E489" s="140"/>
      <c r="F489" s="140"/>
      <c r="G489" s="140"/>
      <c r="H489" s="264"/>
    </row>
    <row r="490" spans="1:8" ht="15.75" customHeight="1">
      <c r="A490" s="126" t="s">
        <v>2189</v>
      </c>
      <c r="B490" s="124"/>
      <c r="C490" s="69"/>
      <c r="D490" s="181"/>
      <c r="E490" s="140"/>
      <c r="F490" s="140"/>
      <c r="G490" s="306"/>
      <c r="H490" s="264"/>
    </row>
    <row r="491" spans="1:8" ht="6" customHeight="1">
      <c r="A491" s="107"/>
      <c r="B491" s="124"/>
      <c r="C491" s="69"/>
      <c r="D491" s="181"/>
      <c r="E491" s="140"/>
      <c r="F491" s="140"/>
      <c r="G491" s="140"/>
      <c r="H491" s="264"/>
    </row>
    <row r="492" spans="1:8" ht="15.75" customHeight="1">
      <c r="A492" s="68" t="s">
        <v>921</v>
      </c>
      <c r="B492" s="124">
        <f>+(E420/H416)*H442^2/B477</f>
        <v>299.446401564055</v>
      </c>
      <c r="C492" s="69" t="s">
        <v>704</v>
      </c>
      <c r="D492" s="69" t="s">
        <v>922</v>
      </c>
      <c r="E492" s="140"/>
      <c r="F492" s="140"/>
      <c r="G492" s="140"/>
      <c r="H492" s="264"/>
    </row>
    <row r="493" spans="1:8" ht="15.75" customHeight="1">
      <c r="A493" s="68"/>
      <c r="B493" s="124"/>
      <c r="C493" s="69"/>
      <c r="D493" s="69" t="s">
        <v>923</v>
      </c>
      <c r="E493" s="140"/>
      <c r="F493" s="140"/>
      <c r="G493" s="140"/>
      <c r="H493" s="264"/>
    </row>
    <row r="494" spans="1:8" ht="6" customHeight="1">
      <c r="A494" s="140"/>
      <c r="B494" s="140"/>
      <c r="C494" s="140"/>
      <c r="D494" s="140"/>
      <c r="E494" s="140"/>
      <c r="F494" s="140"/>
      <c r="G494" s="140"/>
      <c r="H494" s="264"/>
    </row>
    <row r="495" spans="1:8" ht="15.75" customHeight="1">
      <c r="A495" s="126" t="s">
        <v>924</v>
      </c>
      <c r="B495" s="140"/>
      <c r="C495" s="140"/>
      <c r="D495" s="140"/>
      <c r="E495" s="140"/>
      <c r="F495" s="140"/>
      <c r="G495" s="140"/>
      <c r="H495" s="264"/>
    </row>
    <row r="496" spans="1:8" ht="6" customHeight="1">
      <c r="A496" s="140"/>
      <c r="B496" s="140"/>
      <c r="C496" s="140"/>
      <c r="D496" s="140"/>
      <c r="E496" s="140"/>
      <c r="F496" s="140"/>
      <c r="G496" s="140"/>
      <c r="H496" s="264"/>
    </row>
    <row r="497" spans="1:8" ht="15.75" customHeight="1">
      <c r="A497" s="68" t="s">
        <v>2190</v>
      </c>
      <c r="B497" s="106">
        <v>0</v>
      </c>
      <c r="C497" s="69" t="s">
        <v>699</v>
      </c>
      <c r="D497" s="140"/>
      <c r="E497" s="106"/>
      <c r="F497" s="69"/>
      <c r="G497" s="140"/>
      <c r="H497" s="264"/>
    </row>
    <row r="498" spans="1:8" ht="6" customHeight="1">
      <c r="A498" s="69"/>
      <c r="B498" s="140"/>
      <c r="C498" s="140"/>
      <c r="D498" s="140"/>
      <c r="E498" s="106"/>
      <c r="F498" s="69"/>
      <c r="G498" s="140"/>
      <c r="H498" s="264"/>
    </row>
    <row r="499" spans="1:8" ht="15.75" customHeight="1">
      <c r="A499" s="107" t="s">
        <v>2191</v>
      </c>
      <c r="B499" s="124">
        <f>+E420*B497*(E423*B442)</f>
        <v>0</v>
      </c>
      <c r="C499" s="69" t="s">
        <v>704</v>
      </c>
      <c r="D499" s="69" t="s">
        <v>2192</v>
      </c>
      <c r="E499" s="140"/>
      <c r="F499" s="140"/>
      <c r="G499" s="140"/>
      <c r="H499" s="264"/>
    </row>
    <row r="500" spans="1:8" ht="15.75" customHeight="1">
      <c r="A500" s="107"/>
      <c r="B500" s="124"/>
      <c r="C500" s="69"/>
      <c r="D500" s="69" t="s">
        <v>2193</v>
      </c>
      <c r="E500" s="140"/>
      <c r="F500" s="140"/>
      <c r="G500" s="140"/>
      <c r="H500" s="264"/>
    </row>
    <row r="501" spans="1:8" ht="15.75" customHeight="1">
      <c r="A501" s="107"/>
      <c r="B501" s="124"/>
      <c r="C501" s="69"/>
      <c r="D501" s="69" t="s">
        <v>2194</v>
      </c>
      <c r="E501" s="140"/>
      <c r="F501" s="140"/>
      <c r="G501" s="140"/>
      <c r="H501" s="264"/>
    </row>
    <row r="502" spans="1:8" ht="15.75" customHeight="1">
      <c r="A502" s="107"/>
      <c r="B502" s="124"/>
      <c r="C502" s="69"/>
      <c r="D502" s="69" t="s">
        <v>2195</v>
      </c>
      <c r="E502" s="140"/>
      <c r="F502" s="140"/>
      <c r="G502" s="140"/>
      <c r="H502" s="264"/>
    </row>
    <row r="503" spans="1:8" ht="6" customHeight="1">
      <c r="A503" s="107"/>
      <c r="B503" s="124"/>
      <c r="C503" s="69"/>
      <c r="D503" s="181"/>
      <c r="E503" s="140"/>
      <c r="F503" s="140"/>
      <c r="G503" s="140"/>
      <c r="H503" s="264"/>
    </row>
    <row r="504" spans="1:8" ht="15.75" customHeight="1">
      <c r="A504" s="126" t="s">
        <v>2196</v>
      </c>
      <c r="B504" s="124"/>
      <c r="C504" s="69"/>
      <c r="D504" s="181"/>
      <c r="E504" s="140"/>
      <c r="F504" s="140"/>
      <c r="G504" s="140"/>
      <c r="H504" s="264"/>
    </row>
    <row r="505" spans="1:8" ht="6" customHeight="1">
      <c r="A505" s="107"/>
      <c r="B505" s="124"/>
      <c r="C505" s="69"/>
      <c r="D505" s="140"/>
      <c r="E505" s="140"/>
      <c r="F505" s="140"/>
      <c r="G505" s="140"/>
      <c r="H505" s="264"/>
    </row>
    <row r="506" spans="1:8" ht="15.75" customHeight="1">
      <c r="A506" s="68" t="s">
        <v>2197</v>
      </c>
      <c r="B506" s="124">
        <f>+(E420/H416)*H442^2/(E423*B442)</f>
        <v>665.4364479201223</v>
      </c>
      <c r="C506" s="69" t="s">
        <v>704</v>
      </c>
      <c r="D506" s="69" t="s">
        <v>922</v>
      </c>
      <c r="E506" s="140"/>
      <c r="F506" s="140"/>
      <c r="G506" s="140"/>
      <c r="H506" s="264"/>
    </row>
    <row r="507" spans="1:8" ht="15.75" customHeight="1">
      <c r="A507" s="140"/>
      <c r="B507" s="140"/>
      <c r="C507" s="140"/>
      <c r="D507" s="69" t="s">
        <v>2198</v>
      </c>
      <c r="E507" s="140"/>
      <c r="F507" s="140"/>
      <c r="G507" s="140"/>
      <c r="H507" s="264"/>
    </row>
    <row r="508" spans="1:8" ht="6" customHeight="1">
      <c r="A508" s="140"/>
      <c r="B508" s="140"/>
      <c r="C508" s="140"/>
      <c r="D508" s="181"/>
      <c r="E508" s="140"/>
      <c r="F508" s="140"/>
      <c r="G508" s="140"/>
      <c r="H508" s="264"/>
    </row>
    <row r="509" spans="1:8" ht="15.75" customHeight="1">
      <c r="A509" s="69" t="s">
        <v>931</v>
      </c>
      <c r="B509" s="124"/>
      <c r="C509" s="69"/>
      <c r="D509" s="181"/>
      <c r="E509" s="140"/>
      <c r="F509" s="140"/>
      <c r="G509" s="140"/>
      <c r="H509" s="264"/>
    </row>
    <row r="510" spans="1:8" ht="6" customHeight="1">
      <c r="A510" s="140"/>
      <c r="B510" s="140"/>
      <c r="C510" s="140"/>
      <c r="D510" s="140"/>
      <c r="E510" s="140"/>
      <c r="F510" s="140"/>
      <c r="G510" s="140"/>
      <c r="H510" s="264"/>
    </row>
    <row r="511" spans="1:8" ht="15.75" customHeight="1">
      <c r="A511" s="140"/>
      <c r="B511" s="161" t="s">
        <v>2199</v>
      </c>
      <c r="C511" s="74"/>
      <c r="D511" s="187"/>
      <c r="E511" s="276">
        <f>+B486+B492-(B499+B506)*COS(RADIANS(H417))</f>
        <v>2646.929394420423</v>
      </c>
      <c r="F511" s="161" t="s">
        <v>704</v>
      </c>
      <c r="G511" s="264"/>
      <c r="H511" s="264"/>
    </row>
    <row r="512" spans="1:8" ht="6" customHeight="1">
      <c r="A512" s="140"/>
      <c r="B512" s="140"/>
      <c r="C512" s="69"/>
      <c r="D512" s="140"/>
      <c r="E512" s="307"/>
      <c r="F512" s="124"/>
      <c r="G512" s="69"/>
      <c r="H512" s="264"/>
    </row>
    <row r="513" spans="1:8" ht="15.75" customHeight="1">
      <c r="A513" s="69" t="s">
        <v>2393</v>
      </c>
      <c r="B513" s="140"/>
      <c r="C513" s="181"/>
      <c r="D513" s="295"/>
      <c r="E513" s="69"/>
      <c r="F513" s="140"/>
      <c r="G513" s="140"/>
      <c r="H513" s="264"/>
    </row>
    <row r="514" spans="1:8" ht="6" customHeight="1">
      <c r="A514" s="140"/>
      <c r="B514" s="140"/>
      <c r="C514" s="140"/>
      <c r="D514" s="140"/>
      <c r="E514" s="140"/>
      <c r="F514" s="69"/>
      <c r="G514" s="69"/>
      <c r="H514" s="264"/>
    </row>
    <row r="515" spans="1:8" ht="15.75" customHeight="1">
      <c r="A515" s="140"/>
      <c r="B515" s="154" t="s">
        <v>2200</v>
      </c>
      <c r="C515" s="74"/>
      <c r="D515" s="268"/>
      <c r="E515" s="276">
        <f>-B479-(B499+B506)*COS(RADIANS(H417))</f>
        <v>-5589.671496504194</v>
      </c>
      <c r="F515" s="161" t="s">
        <v>704</v>
      </c>
      <c r="G515" s="140"/>
      <c r="H515" s="264"/>
    </row>
    <row r="516" spans="1:8" ht="6" customHeight="1">
      <c r="A516" s="140"/>
      <c r="B516" s="140"/>
      <c r="C516" s="69"/>
      <c r="D516" s="295"/>
      <c r="E516" s="69"/>
      <c r="F516" s="181"/>
      <c r="G516" s="140"/>
      <c r="H516" s="264"/>
    </row>
    <row r="517" spans="1:8" ht="15.75" customHeight="1">
      <c r="A517" s="69" t="s">
        <v>2395</v>
      </c>
      <c r="B517" s="140"/>
      <c r="C517" s="181"/>
      <c r="D517" s="140"/>
      <c r="E517" s="140"/>
      <c r="F517" s="181"/>
      <c r="G517" s="140"/>
      <c r="H517" s="264"/>
    </row>
    <row r="518" spans="1:8" ht="6" customHeight="1">
      <c r="A518" s="140"/>
      <c r="B518" s="140"/>
      <c r="C518" s="181"/>
      <c r="D518" s="140"/>
      <c r="E518" s="140"/>
      <c r="F518" s="181"/>
      <c r="G518" s="140"/>
      <c r="H518" s="264"/>
    </row>
    <row r="519" spans="1:8" ht="15.75" customHeight="1">
      <c r="A519" s="68" t="s">
        <v>937</v>
      </c>
      <c r="B519" s="124">
        <f>+SQRT(ABS(E511)^2+ABS(E515)^2)</f>
        <v>6184.712010908697</v>
      </c>
      <c r="C519" s="69" t="s">
        <v>704</v>
      </c>
      <c r="D519" s="140"/>
      <c r="E519" s="140"/>
      <c r="F519" s="181"/>
      <c r="G519" s="140"/>
      <c r="H519" s="264"/>
    </row>
    <row r="520" spans="1:8" ht="6" customHeight="1">
      <c r="A520" s="264"/>
      <c r="B520" s="264"/>
      <c r="C520" s="264"/>
      <c r="D520" s="264"/>
      <c r="E520" s="264"/>
      <c r="F520" s="264"/>
      <c r="G520" s="264"/>
      <c r="H520" s="264"/>
    </row>
    <row r="521" spans="1:9" ht="6" customHeight="1">
      <c r="A521" s="281"/>
      <c r="B521" s="281"/>
      <c r="C521" s="281"/>
      <c r="D521" s="281"/>
      <c r="E521" s="281"/>
      <c r="F521" s="281"/>
      <c r="G521" s="281"/>
      <c r="H521" s="281"/>
      <c r="I521" s="131"/>
    </row>
    <row r="522" ht="6" customHeight="1"/>
    <row r="523" ht="15.75" customHeight="1">
      <c r="A523" s="85" t="s">
        <v>2201</v>
      </c>
    </row>
    <row r="524" ht="6" customHeight="1"/>
    <row r="525" ht="15.75" customHeight="1">
      <c r="A525" s="5" t="s">
        <v>112</v>
      </c>
    </row>
    <row r="526" spans="1:6" ht="6" customHeight="1">
      <c r="A526" s="5"/>
      <c r="B526" s="3"/>
      <c r="E526" s="1"/>
      <c r="F526" s="1"/>
    </row>
    <row r="527" spans="1:9" ht="15.75" customHeight="1">
      <c r="A527" s="1" t="s">
        <v>1726</v>
      </c>
      <c r="B527" s="3">
        <v>15</v>
      </c>
      <c r="C527" s="120" t="s">
        <v>699</v>
      </c>
      <c r="D527" s="312" t="s">
        <v>2202</v>
      </c>
      <c r="E527" s="313">
        <v>0.35</v>
      </c>
      <c r="F527" s="314" t="s">
        <v>699</v>
      </c>
      <c r="G527" s="313" t="s">
        <v>709</v>
      </c>
      <c r="H527" s="313">
        <v>0.5</v>
      </c>
      <c r="I527" s="120" t="s">
        <v>701</v>
      </c>
    </row>
    <row r="528" spans="1:9" ht="15.75" customHeight="1">
      <c r="A528" s="1" t="s">
        <v>2203</v>
      </c>
      <c r="B528" s="3">
        <v>55</v>
      </c>
      <c r="C528" s="120" t="s">
        <v>699</v>
      </c>
      <c r="D528" s="312" t="s">
        <v>2204</v>
      </c>
      <c r="E528" s="313">
        <v>0.2</v>
      </c>
      <c r="F528" s="314" t="s">
        <v>699</v>
      </c>
      <c r="G528" s="12" t="s">
        <v>2320</v>
      </c>
      <c r="H528" s="15">
        <v>2</v>
      </c>
      <c r="I528" s="28" t="s">
        <v>699</v>
      </c>
    </row>
    <row r="529" spans="1:9" ht="15.75" customHeight="1">
      <c r="A529" s="12" t="s">
        <v>2205</v>
      </c>
      <c r="B529" s="15">
        <v>35</v>
      </c>
      <c r="C529" s="28" t="s">
        <v>2206</v>
      </c>
      <c r="D529" s="1" t="s">
        <v>882</v>
      </c>
      <c r="E529" s="3">
        <v>0.15</v>
      </c>
      <c r="F529" s="120" t="s">
        <v>699</v>
      </c>
      <c r="G529" s="12" t="s">
        <v>2207</v>
      </c>
      <c r="H529" s="15">
        <v>8</v>
      </c>
      <c r="I529" s="28" t="s">
        <v>699</v>
      </c>
    </row>
    <row r="530" spans="1:9" ht="15.75" customHeight="1">
      <c r="A530" s="75" t="s">
        <v>1022</v>
      </c>
      <c r="B530" s="313">
        <f>7+0.05*H534</f>
        <v>7.05</v>
      </c>
      <c r="C530" s="314" t="s">
        <v>699</v>
      </c>
      <c r="D530" s="315" t="s">
        <v>1023</v>
      </c>
      <c r="E530" s="312">
        <f>7*10^-4</f>
        <v>0.0007</v>
      </c>
      <c r="F530" s="314" t="s">
        <v>699</v>
      </c>
      <c r="G530" s="2" t="s">
        <v>1024</v>
      </c>
      <c r="H530" s="1">
        <v>133362</v>
      </c>
      <c r="I530" s="314" t="s">
        <v>1025</v>
      </c>
    </row>
    <row r="531" spans="1:9" ht="15.75" customHeight="1">
      <c r="A531" s="312" t="s">
        <v>1026</v>
      </c>
      <c r="B531" s="313">
        <v>21</v>
      </c>
      <c r="C531" s="314" t="s">
        <v>699</v>
      </c>
      <c r="D531" s="315" t="s">
        <v>1027</v>
      </c>
      <c r="E531" s="312">
        <f>9*10^-4</f>
        <v>0.0009000000000000001</v>
      </c>
      <c r="F531" s="314" t="s">
        <v>699</v>
      </c>
      <c r="G531" s="2" t="s">
        <v>698</v>
      </c>
      <c r="H531" s="1">
        <v>9806</v>
      </c>
      <c r="I531" s="314" t="s">
        <v>1025</v>
      </c>
    </row>
    <row r="532" spans="1:9" ht="15.75" customHeight="1">
      <c r="A532" s="312" t="s">
        <v>1028</v>
      </c>
      <c r="B532" s="313">
        <v>13</v>
      </c>
      <c r="C532" s="314" t="s">
        <v>699</v>
      </c>
      <c r="D532" s="2" t="s">
        <v>1029</v>
      </c>
      <c r="E532" s="316">
        <v>0.4</v>
      </c>
      <c r="G532" s="2" t="s">
        <v>2314</v>
      </c>
      <c r="H532" s="215">
        <v>1E-06</v>
      </c>
      <c r="I532" s="314" t="s">
        <v>1030</v>
      </c>
    </row>
    <row r="533" spans="1:9" ht="15.75" customHeight="1">
      <c r="A533" s="312" t="s">
        <v>1031</v>
      </c>
      <c r="B533" s="313">
        <f>+(10+H535/10)</f>
        <v>10.1</v>
      </c>
      <c r="C533" s="314" t="s">
        <v>699</v>
      </c>
      <c r="D533" s="2" t="s">
        <v>2310</v>
      </c>
      <c r="E533" s="1">
        <v>0.78</v>
      </c>
      <c r="G533" s="1" t="s">
        <v>1017</v>
      </c>
      <c r="H533" s="1">
        <v>9.806</v>
      </c>
      <c r="I533" s="314" t="s">
        <v>1032</v>
      </c>
    </row>
    <row r="534" spans="1:8" ht="15.75" customHeight="1">
      <c r="A534" s="1" t="s">
        <v>1175</v>
      </c>
      <c r="B534" s="313">
        <v>34</v>
      </c>
      <c r="C534" s="314" t="s">
        <v>699</v>
      </c>
      <c r="D534" s="2" t="s">
        <v>702</v>
      </c>
      <c r="E534" s="313">
        <f>0.05</f>
        <v>0.05</v>
      </c>
      <c r="F534" s="314" t="s">
        <v>699</v>
      </c>
      <c r="G534" s="30" t="s">
        <v>1033</v>
      </c>
      <c r="H534" s="284">
        <v>1</v>
      </c>
    </row>
    <row r="535" spans="7:8" ht="15.75" customHeight="1">
      <c r="G535" s="30" t="s">
        <v>1007</v>
      </c>
      <c r="H535" s="284">
        <v>1</v>
      </c>
    </row>
    <row r="536" spans="7:8" ht="6" customHeight="1">
      <c r="G536" s="30"/>
      <c r="H536" s="284"/>
    </row>
    <row r="537" ht="15.75" customHeight="1">
      <c r="A537" s="76" t="s">
        <v>1034</v>
      </c>
    </row>
    <row r="538" spans="1:7" ht="15.75" customHeight="1">
      <c r="A538" s="14" t="s">
        <v>1258</v>
      </c>
      <c r="G538" s="78"/>
    </row>
    <row r="539" spans="1:7" ht="6" customHeight="1">
      <c r="A539" s="211"/>
      <c r="F539" s="314"/>
      <c r="G539" s="78"/>
    </row>
    <row r="540" spans="1:7" ht="15.75" customHeight="1">
      <c r="A540" s="5" t="s">
        <v>113</v>
      </c>
      <c r="B540" s="264"/>
      <c r="C540" s="264"/>
      <c r="F540" s="314"/>
      <c r="G540" s="78"/>
    </row>
    <row r="541" ht="6" customHeight="1">
      <c r="G541" s="264"/>
    </row>
    <row r="542" ht="15.75" customHeight="1">
      <c r="A542" s="258" t="s">
        <v>1259</v>
      </c>
    </row>
    <row r="543" ht="6" customHeight="1"/>
    <row r="544" ht="15.75" customHeight="1">
      <c r="A544" s="120" t="s">
        <v>1260</v>
      </c>
    </row>
    <row r="545" ht="15.75" customHeight="1">
      <c r="A545" s="120" t="s">
        <v>2173</v>
      </c>
    </row>
    <row r="546" ht="6" customHeight="1"/>
    <row r="547" spans="1:6" ht="15.75" customHeight="1">
      <c r="A547" s="120" t="s">
        <v>2174</v>
      </c>
      <c r="B547" s="3"/>
      <c r="D547" s="28"/>
      <c r="E547" s="28"/>
      <c r="F547" s="15"/>
    </row>
    <row r="548" ht="6" customHeight="1"/>
    <row r="549" ht="15.75" customHeight="1">
      <c r="A549" s="120" t="s">
        <v>2175</v>
      </c>
    </row>
    <row r="550" ht="6" customHeight="1"/>
    <row r="551" spans="1:5" ht="15.75" customHeight="1">
      <c r="A551" s="4" t="s">
        <v>2176</v>
      </c>
      <c r="C551" s="4" t="s">
        <v>22</v>
      </c>
      <c r="E551" s="317">
        <f>+E534*(H530-H531)/(H531*B530)</f>
        <v>0.08936199142803002</v>
      </c>
    </row>
    <row r="552" ht="6" customHeight="1"/>
    <row r="553" ht="15.75" customHeight="1">
      <c r="A553" s="120" t="s">
        <v>23</v>
      </c>
    </row>
    <row r="554" ht="6" customHeight="1"/>
    <row r="555" spans="1:5" ht="15.75" customHeight="1">
      <c r="A555" s="222" t="s">
        <v>24</v>
      </c>
      <c r="C555" s="120" t="s">
        <v>25</v>
      </c>
      <c r="E555" s="4" t="s">
        <v>26</v>
      </c>
    </row>
    <row r="556" ht="6" customHeight="1"/>
    <row r="557" ht="15.75" customHeight="1">
      <c r="A557" s="120" t="s">
        <v>27</v>
      </c>
    </row>
    <row r="558" ht="15.75" customHeight="1">
      <c r="A558" s="120" t="s">
        <v>28</v>
      </c>
    </row>
    <row r="559" ht="15.75" customHeight="1">
      <c r="A559" s="318" t="s">
        <v>29</v>
      </c>
    </row>
    <row r="560" ht="6" customHeight="1"/>
    <row r="561" spans="1:7" ht="15.75" customHeight="1">
      <c r="A561" s="120" t="s">
        <v>30</v>
      </c>
      <c r="D561" s="319">
        <f>+E528*SQRT(2*H533*E551*E528)/H532</f>
        <v>118408.35699853368</v>
      </c>
      <c r="F561" s="2" t="s">
        <v>1488</v>
      </c>
      <c r="G561" s="19">
        <f>+E530/E528</f>
        <v>0.0034999999999999996</v>
      </c>
    </row>
    <row r="562" ht="6" customHeight="1"/>
    <row r="563" spans="1:5" ht="15.75" customHeight="1">
      <c r="A563" s="222" t="s">
        <v>31</v>
      </c>
      <c r="E563" s="317">
        <f>+(-2*LOG10(2.51/D561+G561/3.71))^(-2)</f>
        <v>0.0274901162901591</v>
      </c>
    </row>
    <row r="564" ht="6" customHeight="1"/>
    <row r="565" ht="15.75" customHeight="1">
      <c r="A565" s="120" t="s">
        <v>32</v>
      </c>
    </row>
    <row r="566" ht="6" customHeight="1"/>
    <row r="567" spans="1:8" ht="15.75" customHeight="1">
      <c r="A567" s="1" t="s">
        <v>2143</v>
      </c>
      <c r="B567" s="3">
        <f>+PI()*E528^2/4</f>
        <v>0.031415926535897934</v>
      </c>
      <c r="C567" s="314" t="s">
        <v>33</v>
      </c>
      <c r="D567" s="74" t="s">
        <v>34</v>
      </c>
      <c r="E567" s="268"/>
      <c r="F567" s="74"/>
      <c r="G567" s="8">
        <f>+B567*SQRT(2*H533*E551*E528/E563)</f>
        <v>0.11217961457300621</v>
      </c>
      <c r="H567" s="320" t="s">
        <v>35</v>
      </c>
    </row>
    <row r="568" ht="6" customHeight="1">
      <c r="E568" s="3"/>
    </row>
    <row r="569" spans="1:5" ht="15.75" customHeight="1">
      <c r="A569" s="120" t="s">
        <v>36</v>
      </c>
      <c r="E569" s="3"/>
    </row>
    <row r="570" spans="1:5" ht="15.75" customHeight="1">
      <c r="A570" s="137" t="s">
        <v>37</v>
      </c>
      <c r="E570" s="3"/>
    </row>
    <row r="571" spans="1:5" ht="6" customHeight="1">
      <c r="A571" s="290"/>
      <c r="E571" s="3"/>
    </row>
    <row r="572" spans="1:7" ht="15.75" customHeight="1">
      <c r="A572" s="1" t="s">
        <v>38</v>
      </c>
      <c r="B572" s="215">
        <f>+G567*E528/(H532*B567)</f>
        <v>714157.6069375023</v>
      </c>
      <c r="D572" s="120" t="s">
        <v>39</v>
      </c>
      <c r="E572" s="3"/>
      <c r="G572" s="28"/>
    </row>
    <row r="573" ht="6" customHeight="1">
      <c r="E573" s="3"/>
    </row>
    <row r="574" ht="15.75" customHeight="1">
      <c r="A574" s="258" t="s">
        <v>1478</v>
      </c>
    </row>
    <row r="575" ht="6" customHeight="1">
      <c r="A575" s="321"/>
    </row>
    <row r="576" ht="15.75" customHeight="1">
      <c r="A576" s="120" t="s">
        <v>40</v>
      </c>
    </row>
    <row r="577" spans="1:7" ht="6" customHeight="1">
      <c r="A577" s="286"/>
      <c r="B577" s="286"/>
      <c r="C577" s="286"/>
      <c r="D577" s="286"/>
      <c r="E577" s="286"/>
      <c r="F577" s="286"/>
      <c r="G577" s="286"/>
    </row>
    <row r="578" spans="1:3" ht="15.75" customHeight="1">
      <c r="A578" s="1" t="s">
        <v>41</v>
      </c>
      <c r="B578" s="3">
        <f>+B528+H527*10^5/H531</f>
        <v>60.09891902916581</v>
      </c>
      <c r="C578" s="120" t="s">
        <v>699</v>
      </c>
    </row>
    <row r="579" ht="6" customHeight="1"/>
    <row r="580" spans="1:7" ht="15.75" customHeight="1">
      <c r="A580" s="120" t="s">
        <v>1799</v>
      </c>
      <c r="B580" s="286"/>
      <c r="C580" s="286"/>
      <c r="D580" s="286"/>
      <c r="E580" s="286"/>
      <c r="F580" s="286"/>
      <c r="G580" s="286"/>
    </row>
    <row r="581" spans="1:7" ht="15.75" customHeight="1">
      <c r="A581" s="120" t="s">
        <v>1800</v>
      </c>
      <c r="B581" s="286"/>
      <c r="C581" s="286"/>
      <c r="D581" s="286"/>
      <c r="E581" s="286"/>
      <c r="F581" s="286"/>
      <c r="G581" s="286"/>
    </row>
    <row r="582" spans="1:7" ht="6" customHeight="1">
      <c r="A582" s="290"/>
      <c r="B582" s="286"/>
      <c r="C582" s="286"/>
      <c r="D582" s="286"/>
      <c r="E582" s="286"/>
      <c r="F582" s="286"/>
      <c r="G582" s="286"/>
    </row>
    <row r="583" spans="1:7" ht="15.75" customHeight="1">
      <c r="A583" s="286"/>
      <c r="B583" s="120" t="s">
        <v>1801</v>
      </c>
      <c r="C583" s="286"/>
      <c r="D583" s="286"/>
      <c r="E583" s="286"/>
      <c r="F583" s="286"/>
      <c r="G583" s="286"/>
    </row>
    <row r="584" spans="1:7" ht="6" customHeight="1">
      <c r="A584" s="290"/>
      <c r="B584" s="286"/>
      <c r="C584" s="286"/>
      <c r="D584" s="286"/>
      <c r="E584" s="286"/>
      <c r="F584" s="286"/>
      <c r="G584" s="286"/>
    </row>
    <row r="585" spans="1:6" ht="15.75" customHeight="1">
      <c r="A585" s="1" t="s">
        <v>1662</v>
      </c>
      <c r="B585" s="3">
        <f>+PI()*E527^2/4</f>
        <v>0.0962112750161874</v>
      </c>
      <c r="C585" s="69" t="s">
        <v>108</v>
      </c>
      <c r="D585" s="286"/>
      <c r="E585" s="1"/>
      <c r="F585" s="3"/>
    </row>
    <row r="586" spans="1:7" ht="6" customHeight="1">
      <c r="A586" s="290"/>
      <c r="B586" s="286"/>
      <c r="C586" s="286"/>
      <c r="D586" s="286"/>
      <c r="E586" s="286"/>
      <c r="F586" s="286"/>
      <c r="G586" s="286"/>
    </row>
    <row r="587" spans="1:7" ht="15.75" customHeight="1">
      <c r="A587" s="1" t="s">
        <v>1802</v>
      </c>
      <c r="B587" s="3">
        <f>+G567/B585</f>
        <v>1.1659716031632692</v>
      </c>
      <c r="C587" s="120" t="s">
        <v>2381</v>
      </c>
      <c r="D587" s="286"/>
      <c r="E587" s="1" t="s">
        <v>1803</v>
      </c>
      <c r="F587" s="3">
        <f>+G567/B567</f>
        <v>3.570788034687511</v>
      </c>
      <c r="G587" s="120" t="s">
        <v>2381</v>
      </c>
    </row>
    <row r="588" spans="1:7" ht="6" customHeight="1">
      <c r="A588" s="290"/>
      <c r="B588" s="286"/>
      <c r="C588" s="286"/>
      <c r="D588" s="286"/>
      <c r="E588" s="286"/>
      <c r="F588" s="286"/>
      <c r="G588" s="286"/>
    </row>
    <row r="589" spans="1:7" ht="15.75" customHeight="1">
      <c r="A589" s="1" t="s">
        <v>1665</v>
      </c>
      <c r="B589" s="215">
        <f>+B587*E527/H532</f>
        <v>408090.0611071442</v>
      </c>
      <c r="C589" s="1"/>
      <c r="D589" s="1"/>
      <c r="E589" s="1"/>
      <c r="F589" s="1"/>
      <c r="G589" s="1"/>
    </row>
    <row r="590" spans="1:7" ht="6" customHeight="1">
      <c r="A590" s="290"/>
      <c r="B590" s="286"/>
      <c r="C590" s="286"/>
      <c r="D590" s="290"/>
      <c r="E590" s="286"/>
      <c r="F590" s="286"/>
      <c r="G590" s="286"/>
    </row>
    <row r="591" spans="1:7" ht="15.75" customHeight="1">
      <c r="A591" s="2" t="s">
        <v>1487</v>
      </c>
      <c r="B591" s="19">
        <f>+E530/E527</f>
        <v>0.002</v>
      </c>
      <c r="C591" s="286"/>
      <c r="D591" s="120" t="s">
        <v>2670</v>
      </c>
      <c r="E591" s="286"/>
      <c r="F591" s="286"/>
      <c r="G591" s="286"/>
    </row>
    <row r="592" spans="1:7" ht="6" customHeight="1">
      <c r="A592" s="290"/>
      <c r="B592" s="286"/>
      <c r="C592" s="286"/>
      <c r="D592" s="286"/>
      <c r="E592" s="286"/>
      <c r="F592" s="286"/>
      <c r="G592" s="286"/>
    </row>
    <row r="593" spans="1:6" ht="15.75" customHeight="1">
      <c r="A593" s="2" t="s">
        <v>1666</v>
      </c>
      <c r="B593" s="19">
        <v>0.023853605495790946</v>
      </c>
      <c r="D593" s="15"/>
      <c r="E593" s="28"/>
      <c r="F593" s="16"/>
    </row>
    <row r="594" spans="1:5" ht="6" customHeight="1">
      <c r="A594" s="2"/>
      <c r="B594" s="322"/>
      <c r="C594" s="16"/>
      <c r="E594" s="28"/>
    </row>
    <row r="595" spans="1:5" ht="15.75" customHeight="1">
      <c r="A595" s="75" t="s">
        <v>901</v>
      </c>
      <c r="B595" s="215">
        <f>1/SQRT(B593)+2*LOG10(2.51/(SQRT(B593)*B589)+B591/3.71)</f>
        <v>-3.244308023209186E-05</v>
      </c>
      <c r="C595" s="16"/>
      <c r="D595" s="15"/>
      <c r="E595" s="28"/>
    </row>
    <row r="596" spans="1:5" ht="15.75" customHeight="1">
      <c r="A596" s="125" t="s">
        <v>902</v>
      </c>
      <c r="B596" s="322"/>
      <c r="C596" s="16"/>
      <c r="D596" s="15"/>
      <c r="E596" s="28"/>
    </row>
    <row r="597" spans="1:7" ht="6" customHeight="1">
      <c r="A597" s="286"/>
      <c r="B597" s="286"/>
      <c r="C597" s="286"/>
      <c r="D597" s="286"/>
      <c r="E597" s="286"/>
      <c r="F597" s="286"/>
      <c r="G597" s="286"/>
    </row>
    <row r="598" spans="1:7" ht="15.75" customHeight="1">
      <c r="A598" s="12" t="s">
        <v>990</v>
      </c>
      <c r="B598" s="19">
        <f>+(B593/E527)*B587^2/(2*H533)</f>
        <v>0.004724328089648454</v>
      </c>
      <c r="C598" s="12"/>
      <c r="D598" s="14" t="s">
        <v>2671</v>
      </c>
      <c r="F598" s="150">
        <f>+E551</f>
        <v>0.08936199142803002</v>
      </c>
      <c r="G598" s="1" t="s">
        <v>1094</v>
      </c>
    </row>
    <row r="599" spans="1:7" ht="6" customHeight="1">
      <c r="A599" s="12"/>
      <c r="B599" s="19"/>
      <c r="C599" s="12"/>
      <c r="D599" s="12"/>
      <c r="F599" s="12"/>
      <c r="G599" s="264"/>
    </row>
    <row r="600" spans="1:7" ht="6" customHeight="1">
      <c r="A600" s="12"/>
      <c r="B600" s="19"/>
      <c r="C600" s="12"/>
      <c r="D600" s="12"/>
      <c r="E600" s="12"/>
      <c r="F600" s="12"/>
      <c r="G600" s="290"/>
    </row>
    <row r="601" spans="1:7" ht="15.75" customHeight="1">
      <c r="A601" s="4" t="s">
        <v>2672</v>
      </c>
      <c r="B601" s="19"/>
      <c r="C601" s="12"/>
      <c r="D601" s="12"/>
      <c r="E601" s="12"/>
      <c r="F601" s="12"/>
      <c r="G601" s="290"/>
    </row>
    <row r="602" spans="1:7" ht="6" customHeight="1">
      <c r="A602" s="12"/>
      <c r="B602" s="19"/>
      <c r="C602" s="12"/>
      <c r="D602" s="12"/>
      <c r="E602" s="12"/>
      <c r="F602" s="12"/>
      <c r="G602" s="290"/>
    </row>
    <row r="603" spans="1:7" ht="15.75" customHeight="1">
      <c r="A603" s="12" t="s">
        <v>2673</v>
      </c>
      <c r="B603" s="313">
        <f>+B598*B531</f>
        <v>0.09921088988261755</v>
      </c>
      <c r="C603" s="14" t="s">
        <v>699</v>
      </c>
      <c r="E603" s="12" t="s">
        <v>1344</v>
      </c>
      <c r="F603" s="313">
        <f>+F598*B533</f>
        <v>0.9025561134231032</v>
      </c>
      <c r="G603" s="14" t="s">
        <v>699</v>
      </c>
    </row>
    <row r="604" spans="1:7" ht="6" customHeight="1">
      <c r="A604" s="12"/>
      <c r="B604" s="313"/>
      <c r="C604" s="14"/>
      <c r="E604" s="290"/>
      <c r="F604" s="313"/>
      <c r="G604" s="14"/>
    </row>
    <row r="605" spans="1:7" ht="15.75" customHeight="1">
      <c r="A605" s="12" t="s">
        <v>2674</v>
      </c>
      <c r="B605" s="313">
        <f>+B598*B532</f>
        <v>0.061416265165429904</v>
      </c>
      <c r="C605" s="14" t="s">
        <v>699</v>
      </c>
      <c r="E605" s="12" t="s">
        <v>2675</v>
      </c>
      <c r="F605" s="313">
        <f>+(F587-B587)^2/(2*H533)</f>
        <v>0.29487773145670954</v>
      </c>
      <c r="G605" s="14" t="s">
        <v>699</v>
      </c>
    </row>
    <row r="606" spans="1:7" ht="6" customHeight="1">
      <c r="A606" s="12"/>
      <c r="B606" s="313"/>
      <c r="C606" s="14"/>
      <c r="E606" s="290"/>
      <c r="F606" s="313"/>
      <c r="G606" s="14"/>
    </row>
    <row r="607" spans="1:7" ht="15.75" customHeight="1">
      <c r="A607" s="12" t="s">
        <v>2676</v>
      </c>
      <c r="B607" s="313">
        <f>0.5*B587^2/(2*H533)</f>
        <v>0.03465964153026525</v>
      </c>
      <c r="C607" s="14" t="s">
        <v>699</v>
      </c>
      <c r="E607" s="16" t="s">
        <v>1370</v>
      </c>
      <c r="F607" s="313">
        <f>+F587^2/(2*H533)</f>
        <v>0.6501390571419283</v>
      </c>
      <c r="G607" s="14" t="s">
        <v>699</v>
      </c>
    </row>
    <row r="608" spans="1:7" ht="6" customHeight="1">
      <c r="A608" s="16"/>
      <c r="B608" s="313"/>
      <c r="C608" s="14"/>
      <c r="D608" s="12"/>
      <c r="E608" s="12"/>
      <c r="F608" s="12"/>
      <c r="G608" s="16"/>
    </row>
    <row r="609" spans="1:7" ht="15.75" customHeight="1">
      <c r="A609" s="16" t="s">
        <v>2677</v>
      </c>
      <c r="B609" s="313">
        <f>+E532*B587^2/(2*H533)</f>
        <v>0.027727713224212205</v>
      </c>
      <c r="C609" s="14" t="s">
        <v>699</v>
      </c>
      <c r="D609" s="12"/>
      <c r="E609" s="12"/>
      <c r="F609" s="12"/>
      <c r="G609" s="16"/>
    </row>
    <row r="610" spans="1:7" ht="6" customHeight="1">
      <c r="A610" s="12"/>
      <c r="B610" s="19"/>
      <c r="C610" s="12"/>
      <c r="D610" s="12"/>
      <c r="E610" s="12"/>
      <c r="F610" s="12"/>
      <c r="G610" s="290"/>
    </row>
    <row r="611" spans="1:7" ht="15.75" customHeight="1">
      <c r="A611" s="120" t="s">
        <v>2678</v>
      </c>
      <c r="B611" s="19"/>
      <c r="C611" s="12"/>
      <c r="D611" s="12"/>
      <c r="E611" s="12"/>
      <c r="F611" s="12"/>
      <c r="G611" s="290"/>
    </row>
    <row r="612" spans="1:7" ht="6" customHeight="1">
      <c r="A612" s="286"/>
      <c r="B612" s="286"/>
      <c r="C612" s="286"/>
      <c r="D612" s="286"/>
      <c r="E612" s="286"/>
      <c r="F612" s="286"/>
      <c r="G612" s="286"/>
    </row>
    <row r="613" spans="1:8" ht="15.75" customHeight="1">
      <c r="A613" s="28" t="s">
        <v>1618</v>
      </c>
      <c r="B613" s="12"/>
      <c r="C613" s="12"/>
      <c r="D613" s="12"/>
      <c r="E613" s="12"/>
      <c r="G613" s="15">
        <f>+B578-B527+B607+B603+B609+F603+F605+B605+F607</f>
        <v>47.16950644099008</v>
      </c>
      <c r="H613" s="14" t="s">
        <v>699</v>
      </c>
    </row>
    <row r="614" spans="1:7" ht="6" customHeight="1">
      <c r="A614" s="286"/>
      <c r="B614" s="286"/>
      <c r="C614" s="286"/>
      <c r="D614" s="286"/>
      <c r="E614" s="286"/>
      <c r="F614" s="286"/>
      <c r="G614" s="286"/>
    </row>
    <row r="615" spans="1:7" ht="15.75" customHeight="1">
      <c r="A615" s="120" t="s">
        <v>1619</v>
      </c>
      <c r="B615" s="286"/>
      <c r="C615" s="286"/>
      <c r="D615" s="286"/>
      <c r="E615" s="286"/>
      <c r="F615" s="286"/>
      <c r="G615" s="286"/>
    </row>
    <row r="616" spans="1:7" ht="6" customHeight="1">
      <c r="A616" s="286"/>
      <c r="B616" s="286"/>
      <c r="C616" s="286"/>
      <c r="D616" s="286"/>
      <c r="E616" s="286"/>
      <c r="F616" s="286"/>
      <c r="G616" s="286"/>
    </row>
    <row r="617" spans="1:7" ht="15.75" customHeight="1">
      <c r="A617" s="286"/>
      <c r="B617" s="9" t="s">
        <v>1620</v>
      </c>
      <c r="C617" s="323"/>
      <c r="D617" s="11">
        <f>+H531*G567*G613/E533</f>
        <v>66523.11263253212</v>
      </c>
      <c r="E617" s="74" t="s">
        <v>1214</v>
      </c>
      <c r="F617" s="286"/>
      <c r="G617" s="286"/>
    </row>
    <row r="618" spans="1:7" ht="6" customHeight="1">
      <c r="A618" s="286"/>
      <c r="B618" s="286"/>
      <c r="C618" s="286"/>
      <c r="D618" s="286"/>
      <c r="E618" s="286"/>
      <c r="F618" s="286"/>
      <c r="G618" s="286"/>
    </row>
    <row r="619" ht="15.75" customHeight="1">
      <c r="A619" s="258" t="s">
        <v>1621</v>
      </c>
    </row>
    <row r="620" ht="6" customHeight="1">
      <c r="A620" s="321"/>
    </row>
    <row r="621" ht="15.75" customHeight="1">
      <c r="A621" s="120" t="s">
        <v>756</v>
      </c>
    </row>
    <row r="622" ht="15.75" customHeight="1">
      <c r="A622" s="120" t="s">
        <v>757</v>
      </c>
    </row>
    <row r="623" ht="6" customHeight="1">
      <c r="A623" s="290"/>
    </row>
    <row r="624" spans="1:5" ht="15.75" customHeight="1">
      <c r="A624" s="290"/>
      <c r="B624" s="9" t="s">
        <v>758</v>
      </c>
      <c r="C624" s="74"/>
      <c r="D624" s="8">
        <f>+G567/2</f>
        <v>0.056089807286503104</v>
      </c>
      <c r="E624" s="269" t="s">
        <v>2374</v>
      </c>
    </row>
    <row r="625" spans="1:7" ht="6" customHeight="1">
      <c r="A625" s="286"/>
      <c r="B625" s="286"/>
      <c r="C625" s="286"/>
      <c r="D625" s="286"/>
      <c r="E625" s="286"/>
      <c r="F625" s="286"/>
      <c r="G625" s="286"/>
    </row>
    <row r="626" spans="1:7" ht="15.75" customHeight="1">
      <c r="A626" s="258" t="s">
        <v>759</v>
      </c>
      <c r="B626" s="286"/>
      <c r="C626" s="286"/>
      <c r="D626" s="222"/>
      <c r="E626" s="286"/>
      <c r="F626" s="286"/>
      <c r="G626" s="286"/>
    </row>
    <row r="627" spans="1:7" ht="6" customHeight="1">
      <c r="A627" s="286"/>
      <c r="B627" s="286"/>
      <c r="C627" s="286"/>
      <c r="D627" s="286"/>
      <c r="E627" s="286"/>
      <c r="F627" s="286"/>
      <c r="G627" s="286"/>
    </row>
    <row r="628" spans="1:7" ht="15.75" customHeight="1">
      <c r="A628" s="28" t="s">
        <v>760</v>
      </c>
      <c r="B628" s="324"/>
      <c r="C628" s="324"/>
      <c r="D628" s="324"/>
      <c r="E628" s="324"/>
      <c r="F628" s="324"/>
      <c r="G628" s="324"/>
    </row>
    <row r="629" spans="1:7" ht="6" customHeight="1">
      <c r="A629" s="324"/>
      <c r="B629" s="324"/>
      <c r="C629" s="324"/>
      <c r="D629" s="325"/>
      <c r="E629" s="325"/>
      <c r="F629" s="324"/>
      <c r="G629" s="324"/>
    </row>
    <row r="630" spans="1:7" ht="15.75" customHeight="1">
      <c r="A630" s="100"/>
      <c r="B630" s="120" t="s">
        <v>761</v>
      </c>
      <c r="C630" s="150"/>
      <c r="D630" s="12"/>
      <c r="E630" s="15"/>
      <c r="F630" s="326"/>
      <c r="G630" s="324"/>
    </row>
    <row r="631" spans="1:7" ht="6" customHeight="1">
      <c r="A631" s="28"/>
      <c r="B631" s="28"/>
      <c r="C631" s="324"/>
      <c r="D631" s="324"/>
      <c r="E631" s="324"/>
      <c r="F631" s="324"/>
      <c r="G631" s="324"/>
    </row>
    <row r="632" spans="1:7" ht="15.75" customHeight="1">
      <c r="A632" s="1" t="s">
        <v>993</v>
      </c>
      <c r="B632" s="3">
        <f>+PI()*E529^2/4</f>
        <v>0.017671458676442587</v>
      </c>
      <c r="C632" s="120" t="s">
        <v>108</v>
      </c>
      <c r="D632" s="286"/>
      <c r="E632" s="1" t="s">
        <v>762</v>
      </c>
      <c r="F632" s="3">
        <f>+D624/B632</f>
        <v>3.174033808611121</v>
      </c>
      <c r="G632" s="120" t="s">
        <v>2381</v>
      </c>
    </row>
    <row r="633" spans="1:7" ht="6" customHeight="1">
      <c r="A633" s="290"/>
      <c r="B633" s="286"/>
      <c r="C633" s="286"/>
      <c r="D633" s="286"/>
      <c r="E633" s="324"/>
      <c r="F633" s="324"/>
      <c r="G633" s="324"/>
    </row>
    <row r="634" spans="1:7" ht="15.75" customHeight="1">
      <c r="A634" s="1" t="s">
        <v>763</v>
      </c>
      <c r="B634" s="215">
        <f>+F632*E529/H532</f>
        <v>476105.07129166817</v>
      </c>
      <c r="E634" s="2" t="s">
        <v>981</v>
      </c>
      <c r="F634" s="19">
        <f>+E531/E529</f>
        <v>0.006000000000000001</v>
      </c>
      <c r="G634" s="324"/>
    </row>
    <row r="635" spans="1:7" ht="6" customHeight="1">
      <c r="A635" s="290"/>
      <c r="B635" s="286"/>
      <c r="C635" s="286"/>
      <c r="D635" s="286"/>
      <c r="E635" s="324"/>
      <c r="F635" s="324"/>
      <c r="G635" s="324"/>
    </row>
    <row r="636" spans="1:7" ht="15.75" customHeight="1">
      <c r="A636" s="120" t="s">
        <v>764</v>
      </c>
      <c r="C636" s="1"/>
      <c r="D636" s="1"/>
      <c r="E636" s="324"/>
      <c r="F636" s="324"/>
      <c r="G636" s="324"/>
    </row>
    <row r="637" spans="1:7" ht="6" customHeight="1">
      <c r="A637" s="290"/>
      <c r="B637" s="286"/>
      <c r="C637" s="286"/>
      <c r="D637" s="290"/>
      <c r="E637" s="324"/>
      <c r="F637" s="324"/>
      <c r="G637" s="324"/>
    </row>
    <row r="638" spans="1:7" ht="15.75" customHeight="1">
      <c r="A638" s="2" t="s">
        <v>765</v>
      </c>
      <c r="B638" s="19">
        <v>0.03226906802966244</v>
      </c>
      <c r="D638" s="15"/>
      <c r="E638" s="324"/>
      <c r="F638" s="324"/>
      <c r="G638" s="324"/>
    </row>
    <row r="639" spans="1:7" ht="6" customHeight="1">
      <c r="A639" s="2"/>
      <c r="B639" s="322"/>
      <c r="C639" s="16"/>
      <c r="E639" s="324"/>
      <c r="F639" s="324"/>
      <c r="G639" s="324"/>
    </row>
    <row r="640" spans="1:7" ht="15.75" customHeight="1">
      <c r="A640" s="75" t="s">
        <v>901</v>
      </c>
      <c r="B640" s="215">
        <f>1/SQRT(B638)+2*LOG10(2.51/(SQRT(B638)*B634)+F634/3.71)</f>
        <v>-9.507530549512921E-06</v>
      </c>
      <c r="C640" s="16"/>
      <c r="D640" s="15"/>
      <c r="E640" s="327"/>
      <c r="F640" s="28"/>
      <c r="G640" s="28"/>
    </row>
    <row r="641" spans="1:7" ht="15.75" customHeight="1">
      <c r="A641" s="125" t="s">
        <v>902</v>
      </c>
      <c r="B641" s="322"/>
      <c r="C641" s="16"/>
      <c r="D641" s="14" t="s">
        <v>766</v>
      </c>
      <c r="F641" s="19">
        <f>+(B638/E529)*F632^2/(2*H533)</f>
        <v>0.11050867602253685</v>
      </c>
      <c r="G641" s="28"/>
    </row>
    <row r="642" spans="1:7" ht="6" customHeight="1">
      <c r="A642" s="28"/>
      <c r="B642" s="28"/>
      <c r="C642" s="28"/>
      <c r="D642" s="28"/>
      <c r="E642" s="28"/>
      <c r="F642" s="28"/>
      <c r="G642" s="28"/>
    </row>
    <row r="643" spans="1:4" ht="15.75" customHeight="1">
      <c r="A643" s="12" t="s">
        <v>996</v>
      </c>
      <c r="B643" s="313">
        <f>+F641*B534</f>
        <v>3.757294984766253</v>
      </c>
      <c r="C643" s="14" t="s">
        <v>699</v>
      </c>
      <c r="D643" s="28"/>
    </row>
    <row r="644" spans="1:7" ht="6" customHeight="1">
      <c r="A644" s="28"/>
      <c r="B644" s="28"/>
      <c r="C644" s="28"/>
      <c r="D644" s="28"/>
      <c r="E644" s="28"/>
      <c r="F644" s="28"/>
      <c r="G644" s="28"/>
    </row>
    <row r="645" spans="1:7" ht="15.75" customHeight="1">
      <c r="A645" s="12" t="s">
        <v>767</v>
      </c>
      <c r="B645" s="328">
        <f>1.16*F632^2/(2*H533)</f>
        <v>0.5958805382989723</v>
      </c>
      <c r="C645" s="14" t="s">
        <v>699</v>
      </c>
      <c r="D645" s="28"/>
      <c r="E645" s="16" t="s">
        <v>998</v>
      </c>
      <c r="F645" s="313">
        <f>+F632^2/(2*H533)</f>
        <v>0.5136901192232519</v>
      </c>
      <c r="G645" s="14" t="s">
        <v>699</v>
      </c>
    </row>
    <row r="646" spans="1:7" ht="6" customHeight="1">
      <c r="A646" s="28"/>
      <c r="B646" s="28"/>
      <c r="C646" s="28"/>
      <c r="D646" s="28"/>
      <c r="E646" s="28"/>
      <c r="F646" s="28"/>
      <c r="G646" s="28"/>
    </row>
    <row r="647" spans="1:7" ht="15.75" customHeight="1">
      <c r="A647" s="120" t="s">
        <v>768</v>
      </c>
      <c r="C647" s="74" t="s">
        <v>769</v>
      </c>
      <c r="D647" s="287"/>
      <c r="E647" s="74"/>
      <c r="F647" s="8">
        <f>+B578-B645-B643-F645</f>
        <v>55.23205338687734</v>
      </c>
      <c r="G647" s="74" t="s">
        <v>699</v>
      </c>
    </row>
    <row r="648" spans="1:7" ht="6" customHeight="1">
      <c r="A648" s="329"/>
      <c r="B648" s="329"/>
      <c r="C648" s="330"/>
      <c r="D648" s="28"/>
      <c r="E648" s="329"/>
      <c r="F648" s="330"/>
      <c r="G648" s="28"/>
    </row>
    <row r="649" spans="1:7" ht="15.75" customHeight="1">
      <c r="A649" s="126" t="s">
        <v>770</v>
      </c>
      <c r="B649" s="140"/>
      <c r="C649" s="140"/>
      <c r="D649" s="140"/>
      <c r="E649" s="140"/>
      <c r="F649" s="140"/>
      <c r="G649" s="140"/>
    </row>
    <row r="650" spans="1:7" ht="6" customHeight="1">
      <c r="A650" s="117"/>
      <c r="B650" s="140"/>
      <c r="C650" s="140"/>
      <c r="D650" s="140"/>
      <c r="E650" s="164"/>
      <c r="F650" s="140"/>
      <c r="G650" s="140"/>
    </row>
    <row r="651" spans="1:7" ht="15.75" customHeight="1">
      <c r="A651" s="69" t="s">
        <v>771</v>
      </c>
      <c r="B651" s="140"/>
      <c r="C651" s="140"/>
      <c r="D651" s="140"/>
      <c r="E651" s="164"/>
      <c r="F651" s="140"/>
      <c r="G651" s="140"/>
    </row>
    <row r="652" spans="1:7" ht="15.75" customHeight="1">
      <c r="A652" s="69" t="s">
        <v>772</v>
      </c>
      <c r="B652" s="140"/>
      <c r="C652" s="140"/>
      <c r="D652" s="140"/>
      <c r="E652" s="140"/>
      <c r="F652" s="140"/>
      <c r="G652" s="140"/>
    </row>
    <row r="653" spans="1:7" ht="6" customHeight="1">
      <c r="A653" s="181"/>
      <c r="B653" s="140"/>
      <c r="C653" s="140"/>
      <c r="D653" s="140"/>
      <c r="E653" s="140"/>
      <c r="F653" s="140"/>
      <c r="G653" s="140"/>
    </row>
    <row r="654" spans="1:7" ht="15.75" customHeight="1">
      <c r="A654" s="331"/>
      <c r="B654" s="117" t="s">
        <v>773</v>
      </c>
      <c r="C654" s="272"/>
      <c r="D654" s="331"/>
      <c r="E654" s="68" t="s">
        <v>1915</v>
      </c>
      <c r="F654" s="301" t="s">
        <v>774</v>
      </c>
      <c r="G654" s="140"/>
    </row>
    <row r="655" spans="1:7" ht="6" customHeight="1">
      <c r="A655" s="181"/>
      <c r="B655" s="140"/>
      <c r="C655" s="140"/>
      <c r="D655" s="140"/>
      <c r="E655" s="140"/>
      <c r="F655" s="140"/>
      <c r="G655" s="140"/>
    </row>
    <row r="656" spans="1:7" ht="15.75" customHeight="1">
      <c r="A656" s="69" t="s">
        <v>2388</v>
      </c>
      <c r="B656" s="140"/>
      <c r="C656" s="140"/>
      <c r="D656" s="140"/>
      <c r="E656" s="140"/>
      <c r="F656" s="140"/>
      <c r="G656" s="140"/>
    </row>
    <row r="657" spans="1:7" ht="6" customHeight="1">
      <c r="A657" s="181"/>
      <c r="B657" s="140"/>
      <c r="C657" s="140"/>
      <c r="D657" s="140"/>
      <c r="E657" s="140"/>
      <c r="F657" s="140"/>
      <c r="G657" s="140"/>
    </row>
    <row r="658" spans="1:7" ht="15.75" customHeight="1">
      <c r="A658" s="302" t="s">
        <v>775</v>
      </c>
      <c r="B658" s="140"/>
      <c r="C658" s="140"/>
      <c r="D658" s="140"/>
      <c r="E658" s="140"/>
      <c r="F658" s="140"/>
      <c r="G658" s="140"/>
    </row>
    <row r="659" spans="1:7" ht="6" customHeight="1">
      <c r="A659" s="181"/>
      <c r="B659" s="140"/>
      <c r="C659" s="140"/>
      <c r="D659" s="140"/>
      <c r="E659" s="140"/>
      <c r="F659" s="140"/>
      <c r="G659" s="140"/>
    </row>
    <row r="660" spans="1:7" ht="15.75" customHeight="1">
      <c r="A660" s="68" t="s">
        <v>776</v>
      </c>
      <c r="B660" s="106">
        <f>+B632*H529</f>
        <v>0.1413716694115407</v>
      </c>
      <c r="C660" s="28" t="s">
        <v>109</v>
      </c>
      <c r="D660" s="272"/>
      <c r="E660" s="272"/>
      <c r="F660" s="331"/>
      <c r="G660" s="140"/>
    </row>
    <row r="661" spans="1:7" ht="6" customHeight="1">
      <c r="A661" s="66"/>
      <c r="B661" s="140"/>
      <c r="C661" s="106"/>
      <c r="D661" s="28"/>
      <c r="E661" s="140"/>
      <c r="F661" s="140"/>
      <c r="G661" s="140"/>
    </row>
    <row r="662" spans="1:7" ht="15.75" customHeight="1">
      <c r="A662" s="68" t="s">
        <v>777</v>
      </c>
      <c r="B662" s="124">
        <f>+H531*B660</f>
        <v>1386.2905902495681</v>
      </c>
      <c r="C662" s="69" t="s">
        <v>704</v>
      </c>
      <c r="D662" s="303" t="s">
        <v>912</v>
      </c>
      <c r="E662" s="331"/>
      <c r="F662" s="140"/>
      <c r="G662" s="140"/>
    </row>
    <row r="663" spans="1:7" ht="15.75" customHeight="1">
      <c r="A663" s="163"/>
      <c r="B663" s="140"/>
      <c r="C663" s="69"/>
      <c r="D663" s="304" t="s">
        <v>1108</v>
      </c>
      <c r="E663" s="331"/>
      <c r="F663" s="140"/>
      <c r="G663" s="140"/>
    </row>
    <row r="664" spans="1:7" ht="6" customHeight="1">
      <c r="A664" s="163"/>
      <c r="B664" s="140"/>
      <c r="C664" s="69"/>
      <c r="D664" s="69"/>
      <c r="E664" s="140"/>
      <c r="F664" s="140"/>
      <c r="G664" s="140"/>
    </row>
    <row r="665" spans="1:7" ht="15.75" customHeight="1">
      <c r="A665" s="126" t="s">
        <v>778</v>
      </c>
      <c r="B665" s="140"/>
      <c r="C665" s="69"/>
      <c r="D665" s="69"/>
      <c r="E665" s="140"/>
      <c r="F665" s="140"/>
      <c r="G665" s="140"/>
    </row>
    <row r="666" spans="1:7" ht="6" customHeight="1">
      <c r="A666" s="163"/>
      <c r="B666" s="140"/>
      <c r="C666" s="69"/>
      <c r="D666" s="69"/>
      <c r="E666" s="140"/>
      <c r="F666" s="140"/>
      <c r="G666" s="140"/>
    </row>
    <row r="667" spans="1:7" ht="15.75" customHeight="1">
      <c r="A667" s="68" t="s">
        <v>779</v>
      </c>
      <c r="B667" s="308">
        <f>+F647+F641*H529-B529</f>
        <v>21.116122795057635</v>
      </c>
      <c r="C667" s="69" t="s">
        <v>699</v>
      </c>
      <c r="D667" s="272"/>
      <c r="E667" s="272"/>
      <c r="F667" s="272"/>
      <c r="G667" s="272"/>
    </row>
    <row r="668" spans="1:7" ht="6" customHeight="1">
      <c r="A668" s="66"/>
      <c r="B668" s="140"/>
      <c r="C668" s="106"/>
      <c r="D668" s="69"/>
      <c r="E668" s="140"/>
      <c r="F668" s="140"/>
      <c r="G668" s="140"/>
    </row>
    <row r="669" spans="1:7" ht="15.75" customHeight="1">
      <c r="A669" s="107" t="s">
        <v>780</v>
      </c>
      <c r="B669" s="305">
        <f>+H531*B667*B632</f>
        <v>3659.1352916678507</v>
      </c>
      <c r="C669" s="69" t="s">
        <v>704</v>
      </c>
      <c r="D669" s="69" t="s">
        <v>917</v>
      </c>
      <c r="E669" s="140"/>
      <c r="F669" s="140"/>
      <c r="G669" s="140"/>
    </row>
    <row r="670" spans="1:7" ht="15.75" customHeight="1">
      <c r="A670" s="107"/>
      <c r="B670" s="124"/>
      <c r="C670" s="69"/>
      <c r="D670" s="69" t="s">
        <v>918</v>
      </c>
      <c r="E670" s="140"/>
      <c r="F670" s="140"/>
      <c r="G670" s="140"/>
    </row>
    <row r="671" spans="1:7" ht="15.75" customHeight="1">
      <c r="A671" s="107"/>
      <c r="B671" s="124"/>
      <c r="C671" s="69"/>
      <c r="D671" s="69" t="s">
        <v>781</v>
      </c>
      <c r="E671" s="140"/>
      <c r="F671" s="140"/>
      <c r="G671" s="140"/>
    </row>
    <row r="672" spans="1:7" ht="6" customHeight="1">
      <c r="A672" s="107"/>
      <c r="B672" s="124"/>
      <c r="C672" s="69"/>
      <c r="D672" s="181"/>
      <c r="E672" s="140"/>
      <c r="F672" s="140"/>
      <c r="G672" s="140"/>
    </row>
    <row r="673" spans="1:7" ht="15.75" customHeight="1">
      <c r="A673" s="126" t="s">
        <v>782</v>
      </c>
      <c r="B673" s="124"/>
      <c r="C673" s="69"/>
      <c r="D673" s="181"/>
      <c r="E673" s="140"/>
      <c r="F673" s="140"/>
      <c r="G673" s="306"/>
    </row>
    <row r="674" spans="1:7" ht="6" customHeight="1">
      <c r="A674" s="107"/>
      <c r="B674" s="124"/>
      <c r="C674" s="69"/>
      <c r="D674" s="181"/>
      <c r="E674" s="140"/>
      <c r="F674" s="140"/>
      <c r="G674" s="140"/>
    </row>
    <row r="675" spans="1:7" ht="15.75" customHeight="1">
      <c r="A675" s="68" t="s">
        <v>783</v>
      </c>
      <c r="B675" s="305">
        <f>+(H531/H533)*D624*F632</f>
        <v>178.03094464584325</v>
      </c>
      <c r="C675" s="69" t="s">
        <v>704</v>
      </c>
      <c r="D675" s="69" t="s">
        <v>922</v>
      </c>
      <c r="E675" s="140"/>
      <c r="F675" s="140"/>
      <c r="G675" s="140"/>
    </row>
    <row r="676" spans="1:7" ht="15.75" customHeight="1">
      <c r="A676" s="68"/>
      <c r="B676" s="124"/>
      <c r="C676" s="69"/>
      <c r="D676" s="69" t="s">
        <v>784</v>
      </c>
      <c r="E676" s="140"/>
      <c r="F676" s="140"/>
      <c r="G676" s="140"/>
    </row>
    <row r="677" spans="1:7" ht="6" customHeight="1">
      <c r="A677" s="140"/>
      <c r="B677" s="140"/>
      <c r="C677" s="140"/>
      <c r="D677" s="140"/>
      <c r="E677" s="140"/>
      <c r="F677" s="140"/>
      <c r="G677" s="140"/>
    </row>
    <row r="678" spans="1:7" ht="15.75" customHeight="1">
      <c r="A678" s="126" t="s">
        <v>785</v>
      </c>
      <c r="B678" s="140"/>
      <c r="C678" s="140"/>
      <c r="D678" s="140"/>
      <c r="E678" s="140"/>
      <c r="F678" s="140"/>
      <c r="G678" s="140"/>
    </row>
    <row r="679" spans="1:7" ht="6" customHeight="1">
      <c r="A679" s="140"/>
      <c r="B679" s="140"/>
      <c r="C679" s="140"/>
      <c r="D679" s="140"/>
      <c r="E679" s="140"/>
      <c r="F679" s="140"/>
      <c r="G679" s="140"/>
    </row>
    <row r="680" spans="1:7" ht="15.75" customHeight="1">
      <c r="A680" s="68" t="s">
        <v>786</v>
      </c>
      <c r="B680" s="308">
        <f>+F647-B529</f>
        <v>20.23205338687734</v>
      </c>
      <c r="C680" s="69" t="s">
        <v>699</v>
      </c>
      <c r="D680" s="140"/>
      <c r="E680" s="272"/>
      <c r="F680" s="272"/>
      <c r="G680" s="272"/>
    </row>
    <row r="681" spans="1:7" ht="6" customHeight="1">
      <c r="A681" s="69"/>
      <c r="B681" s="140"/>
      <c r="C681" s="140"/>
      <c r="D681" s="140"/>
      <c r="E681" s="106"/>
      <c r="F681" s="69"/>
      <c r="G681" s="140"/>
    </row>
    <row r="682" spans="1:7" ht="15.75" customHeight="1">
      <c r="A682" s="107" t="s">
        <v>787</v>
      </c>
      <c r="B682" s="124">
        <f>+H531*B680*B632</f>
        <v>3505.93815395687</v>
      </c>
      <c r="C682" s="69" t="s">
        <v>704</v>
      </c>
      <c r="D682" s="69" t="s">
        <v>917</v>
      </c>
      <c r="E682" s="140"/>
      <c r="F682" s="140"/>
      <c r="G682" s="140"/>
    </row>
    <row r="683" spans="1:7" ht="15.75" customHeight="1">
      <c r="A683" s="107"/>
      <c r="B683" s="124"/>
      <c r="C683" s="69"/>
      <c r="D683" s="69" t="s">
        <v>918</v>
      </c>
      <c r="E683" s="140"/>
      <c r="F683" s="140"/>
      <c r="G683" s="140"/>
    </row>
    <row r="684" spans="1:7" ht="15.75" customHeight="1">
      <c r="A684" s="107"/>
      <c r="B684" s="124"/>
      <c r="C684" s="69"/>
      <c r="D684" s="69" t="s">
        <v>788</v>
      </c>
      <c r="E684" s="140"/>
      <c r="F684" s="140"/>
      <c r="G684" s="140"/>
    </row>
    <row r="685" spans="1:7" ht="6" customHeight="1">
      <c r="A685" s="107"/>
      <c r="B685" s="124"/>
      <c r="C685" s="69"/>
      <c r="D685" s="181"/>
      <c r="E685" s="140"/>
      <c r="F685" s="140"/>
      <c r="G685" s="140"/>
    </row>
    <row r="686" spans="1:7" ht="15.75" customHeight="1">
      <c r="A686" s="126" t="s">
        <v>789</v>
      </c>
      <c r="B686" s="124"/>
      <c r="C686" s="69"/>
      <c r="D686" s="181"/>
      <c r="E686" s="140"/>
      <c r="F686" s="140"/>
      <c r="G686" s="140"/>
    </row>
    <row r="687" spans="1:7" ht="6" customHeight="1">
      <c r="A687" s="107"/>
      <c r="B687" s="124"/>
      <c r="C687" s="69"/>
      <c r="D687" s="140"/>
      <c r="E687" s="140"/>
      <c r="F687" s="140"/>
      <c r="G687" s="140"/>
    </row>
    <row r="688" spans="1:7" ht="15.75" customHeight="1">
      <c r="A688" s="68" t="s">
        <v>790</v>
      </c>
      <c r="B688" s="305">
        <f>+(H531/H533)*D624*F632</f>
        <v>178.03094464584325</v>
      </c>
      <c r="C688" s="69" t="s">
        <v>704</v>
      </c>
      <c r="D688" s="69" t="s">
        <v>922</v>
      </c>
      <c r="E688" s="140"/>
      <c r="F688" s="140"/>
      <c r="G688" s="140"/>
    </row>
    <row r="689" spans="1:7" ht="15.75" customHeight="1">
      <c r="A689" s="140"/>
      <c r="B689" s="140"/>
      <c r="C689" s="140"/>
      <c r="D689" s="69" t="s">
        <v>791</v>
      </c>
      <c r="E689" s="140"/>
      <c r="F689" s="140"/>
      <c r="G689" s="140"/>
    </row>
    <row r="690" spans="1:7" ht="15.75" customHeight="1">
      <c r="A690" s="140"/>
      <c r="B690" s="140"/>
      <c r="C690" s="140"/>
      <c r="D690" s="181"/>
      <c r="E690" s="140"/>
      <c r="F690" s="140"/>
      <c r="G690" s="140"/>
    </row>
    <row r="691" spans="1:7" ht="15.75" customHeight="1">
      <c r="A691" s="69" t="s">
        <v>931</v>
      </c>
      <c r="B691" s="124"/>
      <c r="C691" s="69"/>
      <c r="D691" s="181"/>
      <c r="E691" s="140"/>
      <c r="F691" s="140"/>
      <c r="G691" s="140"/>
    </row>
    <row r="692" spans="1:7" ht="6" customHeight="1">
      <c r="A692" s="140"/>
      <c r="B692" s="140"/>
      <c r="C692" s="140"/>
      <c r="D692" s="140"/>
      <c r="E692" s="140"/>
      <c r="F692" s="140"/>
      <c r="G692" s="140"/>
    </row>
    <row r="693" spans="1:7" ht="15.75" customHeight="1">
      <c r="A693" s="66" t="s">
        <v>792</v>
      </c>
      <c r="B693" s="272"/>
      <c r="D693" s="305">
        <f>+B669-B682</f>
        <v>153.19713771098077</v>
      </c>
      <c r="E693" s="69" t="s">
        <v>704</v>
      </c>
      <c r="F693" s="272"/>
      <c r="G693" s="272"/>
    </row>
    <row r="694" spans="1:7" ht="6" customHeight="1">
      <c r="A694" s="140"/>
      <c r="B694" s="140"/>
      <c r="C694" s="69"/>
      <c r="D694" s="140"/>
      <c r="E694" s="307"/>
      <c r="F694" s="124"/>
      <c r="G694" s="69"/>
    </row>
    <row r="695" spans="1:7" ht="15.75" customHeight="1">
      <c r="A695" s="69" t="s">
        <v>793</v>
      </c>
      <c r="B695" s="140"/>
      <c r="D695" s="295"/>
      <c r="E695" s="69"/>
      <c r="F695" s="140"/>
      <c r="G695" s="140"/>
    </row>
    <row r="696" spans="1:7" ht="6" customHeight="1">
      <c r="A696" s="140"/>
      <c r="B696" s="140"/>
      <c r="C696" s="140"/>
      <c r="D696" s="140"/>
      <c r="E696" s="140"/>
      <c r="F696" s="69"/>
      <c r="G696" s="69"/>
    </row>
    <row r="697" spans="1:7" ht="15.75" customHeight="1">
      <c r="A697" s="68" t="s">
        <v>794</v>
      </c>
      <c r="B697" s="305">
        <f>-B662</f>
        <v>-1386.2905902495681</v>
      </c>
      <c r="C697" s="69" t="s">
        <v>704</v>
      </c>
      <c r="D697" s="272"/>
      <c r="E697" s="331"/>
      <c r="F697" s="272"/>
      <c r="G697" s="140"/>
    </row>
    <row r="698" spans="1:7" ht="6" customHeight="1">
      <c r="A698" s="140"/>
      <c r="B698" s="140"/>
      <c r="C698" s="69"/>
      <c r="D698" s="295"/>
      <c r="E698" s="69"/>
      <c r="F698" s="181"/>
      <c r="G698" s="140"/>
    </row>
    <row r="699" spans="1:7" ht="15.75" customHeight="1">
      <c r="A699" s="69" t="s">
        <v>795</v>
      </c>
      <c r="B699" s="140"/>
      <c r="C699" s="181"/>
      <c r="D699" s="140"/>
      <c r="E699" s="140"/>
      <c r="F699" s="181"/>
      <c r="G699" s="140"/>
    </row>
    <row r="700" spans="1:7" ht="6" customHeight="1">
      <c r="A700" s="140"/>
      <c r="B700" s="140"/>
      <c r="C700" s="181"/>
      <c r="D700" s="140"/>
      <c r="E700" s="140"/>
      <c r="F700" s="181"/>
      <c r="G700" s="140"/>
    </row>
    <row r="701" spans="1:7" ht="15.75" customHeight="1">
      <c r="A701" s="68" t="s">
        <v>796</v>
      </c>
      <c r="B701" s="124">
        <f>+SQRT(ABS(D693)^2+ABS(B697)^2)</f>
        <v>1394.7297098783454</v>
      </c>
      <c r="C701" s="69" t="s">
        <v>704</v>
      </c>
      <c r="D701" s="140"/>
      <c r="E701" s="140"/>
      <c r="F701" s="181"/>
      <c r="G701" s="140"/>
    </row>
    <row r="702" spans="1:7" ht="6" customHeight="1">
      <c r="A702" s="331"/>
      <c r="B702" s="331"/>
      <c r="C702" s="331"/>
      <c r="D702" s="331"/>
      <c r="E702" s="331"/>
      <c r="F702" s="331"/>
      <c r="G702" s="331"/>
    </row>
    <row r="703" spans="1:7" ht="15.75" customHeight="1">
      <c r="A703" s="126" t="s">
        <v>797</v>
      </c>
      <c r="B703" s="140"/>
      <c r="C703" s="140"/>
      <c r="D703" s="140"/>
      <c r="E703" s="140"/>
      <c r="F703" s="140"/>
      <c r="G703" s="140"/>
    </row>
    <row r="704" spans="1:7" ht="6" customHeight="1">
      <c r="A704" s="117"/>
      <c r="B704" s="140"/>
      <c r="C704" s="140"/>
      <c r="D704" s="140"/>
      <c r="E704" s="164"/>
      <c r="F704" s="140"/>
      <c r="G704" s="140"/>
    </row>
    <row r="705" spans="1:7" ht="15.75" customHeight="1">
      <c r="A705" s="69" t="s">
        <v>798</v>
      </c>
      <c r="B705" s="140"/>
      <c r="C705" s="140"/>
      <c r="D705" s="140"/>
      <c r="E705" s="164"/>
      <c r="F705" s="140"/>
      <c r="G705" s="140"/>
    </row>
    <row r="706" spans="1:7" ht="15.75" customHeight="1">
      <c r="A706" s="69" t="s">
        <v>799</v>
      </c>
      <c r="B706" s="140"/>
      <c r="C706" s="140"/>
      <c r="D706" s="140"/>
      <c r="E706" s="140"/>
      <c r="F706" s="140"/>
      <c r="G706" s="140"/>
    </row>
    <row r="707" spans="1:7" ht="6" customHeight="1">
      <c r="A707" s="181"/>
      <c r="B707" s="140"/>
      <c r="C707" s="140"/>
      <c r="D707" s="140"/>
      <c r="E707" s="140"/>
      <c r="F707" s="140"/>
      <c r="G707" s="140"/>
    </row>
    <row r="708" spans="1:7" ht="15.75" customHeight="1">
      <c r="A708" s="331"/>
      <c r="B708" s="117" t="s">
        <v>800</v>
      </c>
      <c r="C708" s="272"/>
      <c r="D708" s="331"/>
      <c r="E708" s="68" t="s">
        <v>1915</v>
      </c>
      <c r="F708" s="301" t="s">
        <v>801</v>
      </c>
      <c r="G708" s="140"/>
    </row>
    <row r="709" spans="1:7" ht="6" customHeight="1">
      <c r="A709" s="181"/>
      <c r="B709" s="140"/>
      <c r="C709" s="140"/>
      <c r="D709" s="140"/>
      <c r="E709" s="140"/>
      <c r="F709" s="140"/>
      <c r="G709" s="140"/>
    </row>
    <row r="710" spans="1:7" ht="15.75" customHeight="1">
      <c r="A710" s="69" t="s">
        <v>2388</v>
      </c>
      <c r="B710" s="140"/>
      <c r="C710" s="140"/>
      <c r="D710" s="140"/>
      <c r="E710" s="140"/>
      <c r="F710" s="140"/>
      <c r="G710" s="140"/>
    </row>
    <row r="711" spans="1:7" ht="6" customHeight="1">
      <c r="A711" s="181"/>
      <c r="B711" s="140"/>
      <c r="C711" s="140"/>
      <c r="D711" s="140"/>
      <c r="E711" s="140"/>
      <c r="F711" s="140"/>
      <c r="G711" s="140"/>
    </row>
    <row r="712" spans="1:7" ht="15.75" customHeight="1">
      <c r="A712" s="302" t="s">
        <v>802</v>
      </c>
      <c r="B712" s="140"/>
      <c r="C712" s="140"/>
      <c r="D712" s="140"/>
      <c r="E712" s="140"/>
      <c r="F712" s="140"/>
      <c r="G712" s="140"/>
    </row>
    <row r="713" spans="1:7" ht="6" customHeight="1">
      <c r="A713" s="181"/>
      <c r="B713" s="140"/>
      <c r="C713" s="140"/>
      <c r="D713" s="140"/>
      <c r="E713" s="140"/>
      <c r="F713" s="140"/>
      <c r="G713" s="140"/>
    </row>
    <row r="714" spans="1:7" ht="15.75" customHeight="1">
      <c r="A714" s="68" t="s">
        <v>803</v>
      </c>
      <c r="B714" s="106">
        <f>+B632*(H529-H528)</f>
        <v>0.10602875205865553</v>
      </c>
      <c r="C714" s="28" t="s">
        <v>109</v>
      </c>
      <c r="D714" s="272"/>
      <c r="E714" s="272"/>
      <c r="F714" s="331"/>
      <c r="G714" s="140"/>
    </row>
    <row r="715" spans="1:7" ht="15.75" customHeight="1">
      <c r="A715" s="66"/>
      <c r="B715" s="140"/>
      <c r="C715" s="106"/>
      <c r="D715" s="28"/>
      <c r="E715" s="140"/>
      <c r="F715" s="140"/>
      <c r="G715" s="140"/>
    </row>
    <row r="716" spans="1:7" ht="15.75" customHeight="1">
      <c r="A716" s="68" t="s">
        <v>804</v>
      </c>
      <c r="B716" s="124">
        <f>+H531*B714</f>
        <v>1039.7179426871762</v>
      </c>
      <c r="C716" s="69" t="s">
        <v>704</v>
      </c>
      <c r="D716" s="303" t="s">
        <v>912</v>
      </c>
      <c r="E716" s="331"/>
      <c r="F716" s="140"/>
      <c r="G716" s="140"/>
    </row>
    <row r="717" spans="1:7" ht="15.75" customHeight="1">
      <c r="A717" s="163"/>
      <c r="B717" s="140"/>
      <c r="C717" s="69"/>
      <c r="D717" s="304" t="s">
        <v>1108</v>
      </c>
      <c r="E717" s="331"/>
      <c r="F717" s="140"/>
      <c r="G717" s="140"/>
    </row>
    <row r="718" spans="1:7" ht="6" customHeight="1">
      <c r="A718" s="163"/>
      <c r="B718" s="140"/>
      <c r="C718" s="69"/>
      <c r="D718" s="69"/>
      <c r="E718" s="140"/>
      <c r="F718" s="140"/>
      <c r="G718" s="140"/>
    </row>
    <row r="719" spans="1:7" ht="15.75" customHeight="1">
      <c r="A719" s="126" t="s">
        <v>805</v>
      </c>
      <c r="B719" s="140"/>
      <c r="C719" s="69"/>
      <c r="D719" s="69"/>
      <c r="E719" s="140"/>
      <c r="F719" s="140"/>
      <c r="G719" s="140"/>
    </row>
    <row r="720" spans="1:7" ht="6" customHeight="1">
      <c r="A720" s="163"/>
      <c r="B720" s="140"/>
      <c r="C720" s="69"/>
      <c r="D720" s="69"/>
      <c r="E720" s="140"/>
      <c r="F720" s="140"/>
      <c r="G720" s="140"/>
    </row>
    <row r="721" spans="1:7" ht="15.75" customHeight="1">
      <c r="A721" s="68" t="s">
        <v>806</v>
      </c>
      <c r="B721" s="308">
        <f>+F647-B529</f>
        <v>20.23205338687734</v>
      </c>
      <c r="C721" s="69" t="s">
        <v>699</v>
      </c>
      <c r="D721" s="303" t="s">
        <v>807</v>
      </c>
      <c r="E721" s="272"/>
      <c r="F721" s="272"/>
      <c r="G721" s="272"/>
    </row>
    <row r="722" spans="1:7" ht="6" customHeight="1">
      <c r="A722" s="66"/>
      <c r="B722" s="140"/>
      <c r="C722" s="106"/>
      <c r="D722" s="69"/>
      <c r="E722" s="140"/>
      <c r="F722" s="140"/>
      <c r="G722" s="140"/>
    </row>
    <row r="723" spans="1:7" ht="15.75" customHeight="1">
      <c r="A723" s="107" t="s">
        <v>808</v>
      </c>
      <c r="B723" s="305">
        <f>+H531*B721*B632</f>
        <v>3505.93815395687</v>
      </c>
      <c r="C723" s="69" t="s">
        <v>704</v>
      </c>
      <c r="D723" s="69" t="s">
        <v>917</v>
      </c>
      <c r="E723" s="140"/>
      <c r="F723" s="140"/>
      <c r="G723" s="140"/>
    </row>
    <row r="724" spans="1:7" ht="15.75" customHeight="1">
      <c r="A724" s="107"/>
      <c r="B724" s="124"/>
      <c r="C724" s="69"/>
      <c r="D724" s="69" t="s">
        <v>918</v>
      </c>
      <c r="E724" s="140"/>
      <c r="F724" s="140"/>
      <c r="G724" s="140"/>
    </row>
    <row r="725" spans="1:7" ht="15.75" customHeight="1">
      <c r="A725" s="107"/>
      <c r="B725" s="124"/>
      <c r="C725" s="69"/>
      <c r="D725" s="69" t="s">
        <v>809</v>
      </c>
      <c r="E725" s="140"/>
      <c r="F725" s="140"/>
      <c r="G725" s="140"/>
    </row>
    <row r="726" spans="1:7" ht="15.75" customHeight="1">
      <c r="A726" s="107"/>
      <c r="B726" s="124"/>
      <c r="C726" s="69"/>
      <c r="D726" s="181"/>
      <c r="E726" s="140"/>
      <c r="F726" s="140"/>
      <c r="G726" s="140"/>
    </row>
    <row r="727" spans="1:7" ht="15.75" customHeight="1">
      <c r="A727" s="126" t="s">
        <v>810</v>
      </c>
      <c r="B727" s="140"/>
      <c r="C727" s="140"/>
      <c r="D727" s="140"/>
      <c r="E727" s="140"/>
      <c r="F727" s="140"/>
      <c r="G727" s="140"/>
    </row>
    <row r="728" spans="1:7" ht="6" customHeight="1">
      <c r="A728" s="140"/>
      <c r="B728" s="140"/>
      <c r="C728" s="140"/>
      <c r="D728" s="140"/>
      <c r="E728" s="140"/>
      <c r="F728" s="140"/>
      <c r="G728" s="140"/>
    </row>
    <row r="729" spans="1:7" ht="15.75" customHeight="1">
      <c r="A729" s="68" t="s">
        <v>786</v>
      </c>
      <c r="B729" s="308">
        <f>+B721</f>
        <v>20.23205338687734</v>
      </c>
      <c r="C729" s="69" t="s">
        <v>699</v>
      </c>
      <c r="D729" s="140"/>
      <c r="E729" s="272"/>
      <c r="F729" s="272"/>
      <c r="G729" s="272"/>
    </row>
    <row r="730" spans="1:7" ht="6" customHeight="1">
      <c r="A730" s="69"/>
      <c r="B730" s="140"/>
      <c r="C730" s="140"/>
      <c r="D730" s="140"/>
      <c r="E730" s="106"/>
      <c r="F730" s="69"/>
      <c r="G730" s="140"/>
    </row>
    <row r="731" spans="1:7" ht="15.75" customHeight="1">
      <c r="A731" s="107" t="s">
        <v>811</v>
      </c>
      <c r="B731" s="124">
        <f>+H531*B729*B632</f>
        <v>3505.93815395687</v>
      </c>
      <c r="C731" s="69" t="s">
        <v>704</v>
      </c>
      <c r="D731" s="69" t="s">
        <v>917</v>
      </c>
      <c r="E731" s="140"/>
      <c r="F731" s="140"/>
      <c r="G731" s="140"/>
    </row>
    <row r="732" spans="1:7" ht="15.75" customHeight="1">
      <c r="A732" s="107"/>
      <c r="B732" s="124"/>
      <c r="C732" s="69"/>
      <c r="D732" s="69" t="s">
        <v>918</v>
      </c>
      <c r="E732" s="140"/>
      <c r="F732" s="140"/>
      <c r="G732" s="140"/>
    </row>
    <row r="733" spans="1:7" ht="15.75" customHeight="1">
      <c r="A733" s="107"/>
      <c r="B733" s="124"/>
      <c r="C733" s="69"/>
      <c r="D733" s="69" t="s">
        <v>788</v>
      </c>
      <c r="E733" s="140"/>
      <c r="F733" s="140"/>
      <c r="G733" s="140"/>
    </row>
    <row r="734" spans="1:7" ht="6" customHeight="1">
      <c r="A734" s="107"/>
      <c r="B734" s="124"/>
      <c r="C734" s="69"/>
      <c r="D734" s="181"/>
      <c r="E734" s="140"/>
      <c r="F734" s="140"/>
      <c r="G734" s="140"/>
    </row>
    <row r="735" spans="1:7" ht="15.75" customHeight="1">
      <c r="A735" s="69" t="s">
        <v>931</v>
      </c>
      <c r="B735" s="124"/>
      <c r="C735" s="69"/>
      <c r="D735" s="181"/>
      <c r="E735" s="140"/>
      <c r="F735" s="140"/>
      <c r="G735" s="140"/>
    </row>
    <row r="736" spans="1:7" ht="6" customHeight="1">
      <c r="A736" s="140"/>
      <c r="B736" s="140"/>
      <c r="C736" s="140"/>
      <c r="D736" s="140"/>
      <c r="E736" s="140"/>
      <c r="F736" s="140"/>
      <c r="G736" s="140"/>
    </row>
    <row r="737" spans="1:7" ht="15.75" customHeight="1">
      <c r="A737" s="66" t="s">
        <v>812</v>
      </c>
      <c r="B737" s="305">
        <f>+B723-B731</f>
        <v>0</v>
      </c>
      <c r="C737" s="69" t="s">
        <v>704</v>
      </c>
      <c r="D737" s="272"/>
      <c r="E737" s="307"/>
      <c r="F737" s="272"/>
      <c r="G737" s="272"/>
    </row>
    <row r="738" spans="1:7" ht="6" customHeight="1">
      <c r="A738" s="140"/>
      <c r="B738" s="140"/>
      <c r="C738" s="140"/>
      <c r="D738" s="140"/>
      <c r="E738" s="140"/>
      <c r="F738" s="69"/>
      <c r="G738" s="69"/>
    </row>
    <row r="739" spans="1:7" ht="15.75" customHeight="1">
      <c r="A739" s="68" t="s">
        <v>813</v>
      </c>
      <c r="B739" s="305">
        <f>B716</f>
        <v>1039.7179426871762</v>
      </c>
      <c r="C739" s="69" t="s">
        <v>704</v>
      </c>
      <c r="D739" s="272"/>
      <c r="E739" s="331"/>
      <c r="F739" s="272"/>
      <c r="G739" s="140"/>
    </row>
    <row r="740" spans="1:7" ht="6" customHeight="1">
      <c r="A740" s="140"/>
      <c r="B740" s="140"/>
      <c r="C740" s="69"/>
      <c r="D740" s="295"/>
      <c r="E740" s="69"/>
      <c r="F740" s="181"/>
      <c r="G740" s="140"/>
    </row>
    <row r="741" spans="1:7" ht="15.75" customHeight="1">
      <c r="A741" s="69" t="s">
        <v>2029</v>
      </c>
      <c r="B741" s="140"/>
      <c r="C741" s="181"/>
      <c r="D741" s="140"/>
      <c r="E741" s="140"/>
      <c r="F741" s="181"/>
      <c r="G741" s="140"/>
    </row>
    <row r="742" spans="1:7" ht="6" customHeight="1">
      <c r="A742" s="140"/>
      <c r="B742" s="140"/>
      <c r="C742" s="181"/>
      <c r="D742" s="140"/>
      <c r="E742" s="140"/>
      <c r="F742" s="181"/>
      <c r="G742" s="140"/>
    </row>
    <row r="743" spans="1:7" ht="15.75" customHeight="1">
      <c r="A743" s="68" t="s">
        <v>2030</v>
      </c>
      <c r="B743" s="124">
        <f>+SQRT(ABS(B737)^2+ABS(B739)^2)</f>
        <v>1039.7179426871762</v>
      </c>
      <c r="C743" s="69" t="s">
        <v>704</v>
      </c>
      <c r="D743" s="140"/>
      <c r="E743" s="140"/>
      <c r="F743" s="181"/>
      <c r="G743" s="140"/>
    </row>
    <row r="744" spans="1:7" ht="6" customHeight="1">
      <c r="A744" s="272"/>
      <c r="B744" s="272"/>
      <c r="C744" s="272"/>
      <c r="D744" s="272"/>
      <c r="E744" s="272"/>
      <c r="F744" s="272"/>
      <c r="G744" s="272"/>
    </row>
    <row r="745" spans="1:7" ht="15.75" customHeight="1">
      <c r="A745" s="227" t="s">
        <v>873</v>
      </c>
      <c r="B745" s="272"/>
      <c r="C745" s="272"/>
      <c r="D745" s="272"/>
      <c r="E745" s="272"/>
      <c r="F745" s="272"/>
      <c r="G745" s="272"/>
    </row>
    <row r="746" spans="1:7" ht="6" customHeight="1">
      <c r="A746" s="272"/>
      <c r="B746" s="272"/>
      <c r="C746" s="272"/>
      <c r="D746" s="272"/>
      <c r="E746" s="272"/>
      <c r="F746" s="272"/>
      <c r="G746" s="272"/>
    </row>
    <row r="747" spans="1:7" ht="15.75" customHeight="1">
      <c r="A747" s="159" t="s">
        <v>874</v>
      </c>
      <c r="B747" s="332">
        <f>+D693</f>
        <v>153.19713771098077</v>
      </c>
      <c r="C747" s="161" t="s">
        <v>704</v>
      </c>
      <c r="D747" s="272"/>
      <c r="E747" s="272"/>
      <c r="F747" s="272"/>
      <c r="G747" s="272"/>
    </row>
    <row r="748" spans="1:7" ht="6" customHeight="1">
      <c r="A748" s="272"/>
      <c r="B748" s="272"/>
      <c r="C748" s="272"/>
      <c r="D748" s="272"/>
      <c r="E748" s="272"/>
      <c r="F748" s="272"/>
      <c r="G748" s="272"/>
    </row>
    <row r="749" spans="1:7" ht="15.75" customHeight="1">
      <c r="A749" s="69" t="s">
        <v>2393</v>
      </c>
      <c r="B749" s="272"/>
      <c r="C749" s="272"/>
      <c r="D749" s="272"/>
      <c r="E749" s="272"/>
      <c r="F749" s="272"/>
      <c r="G749" s="272"/>
    </row>
    <row r="750" spans="1:7" ht="6" customHeight="1">
      <c r="A750" s="272"/>
      <c r="B750" s="272"/>
      <c r="C750" s="272"/>
      <c r="D750" s="272"/>
      <c r="E750" s="272"/>
      <c r="F750" s="272"/>
      <c r="G750" s="272"/>
    </row>
    <row r="751" spans="1:7" ht="15.75" customHeight="1">
      <c r="A751" s="159" t="s">
        <v>875</v>
      </c>
      <c r="B751" s="332">
        <f>+B739-ABS(B697)</f>
        <v>-346.5726475623919</v>
      </c>
      <c r="C751" s="161" t="s">
        <v>704</v>
      </c>
      <c r="D751" s="272"/>
      <c r="E751" s="272"/>
      <c r="F751" s="272"/>
      <c r="G751" s="272"/>
    </row>
    <row r="752" spans="1:7" ht="6" customHeight="1">
      <c r="A752" s="272"/>
      <c r="B752" s="272"/>
      <c r="C752" s="272"/>
      <c r="D752" s="272"/>
      <c r="E752" s="272"/>
      <c r="F752" s="272"/>
      <c r="G752" s="272"/>
    </row>
    <row r="753" spans="1:7" ht="15.75" customHeight="1">
      <c r="A753" s="69" t="s">
        <v>2395</v>
      </c>
      <c r="B753" s="272"/>
      <c r="C753" s="181"/>
      <c r="D753" s="272"/>
      <c r="E753" s="272"/>
      <c r="F753" s="272"/>
      <c r="G753" s="272"/>
    </row>
    <row r="754" spans="1:4" ht="6" customHeight="1">
      <c r="A754" s="272"/>
      <c r="B754" s="272"/>
      <c r="C754" s="272"/>
      <c r="D754" s="272"/>
    </row>
    <row r="755" spans="1:7" ht="15.75" customHeight="1">
      <c r="A755" s="120" t="s">
        <v>876</v>
      </c>
      <c r="E755" s="159" t="s">
        <v>877</v>
      </c>
      <c r="F755" s="276">
        <f>+SQRT(ABS(B747)^2+ABS(B751)^2)</f>
        <v>378.922106825721</v>
      </c>
      <c r="G755" s="161" t="s">
        <v>704</v>
      </c>
    </row>
    <row r="756" ht="6" customHeight="1"/>
    <row r="757" spans="1:9" ht="6" customHeight="1">
      <c r="A757" s="131"/>
      <c r="B757" s="131"/>
      <c r="C757" s="131"/>
      <c r="D757" s="131"/>
      <c r="E757" s="131"/>
      <c r="F757" s="131"/>
      <c r="G757" s="131"/>
      <c r="H757" s="131"/>
      <c r="I757" s="131"/>
    </row>
    <row r="758" ht="6" customHeight="1"/>
  </sheetData>
  <sheetProtection password="DD5B" sheet="1" objects="1" scenarios="1"/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0"/>
  <sheetViews>
    <sheetView view="pageBreakPreview" zoomScale="120" zoomScaleSheetLayoutView="120" workbookViewId="0" topLeftCell="A259">
      <selection activeCell="A1" sqref="A1"/>
    </sheetView>
  </sheetViews>
  <sheetFormatPr defaultColWidth="9.140625" defaultRowHeight="12.75"/>
  <cols>
    <col min="1" max="1" width="17.421875" style="1" customWidth="1"/>
    <col min="2" max="2" width="7.7109375" style="1" customWidth="1"/>
    <col min="3" max="3" width="7.00390625" style="1" customWidth="1"/>
    <col min="4" max="4" width="11.8515625" style="1" customWidth="1"/>
    <col min="5" max="5" width="14.421875" style="1" customWidth="1"/>
    <col min="6" max="6" width="6.7109375" style="1" customWidth="1"/>
    <col min="7" max="7" width="11.8515625" style="1" customWidth="1"/>
    <col min="8" max="8" width="6.8515625" style="1" customWidth="1"/>
    <col min="9" max="9" width="9.140625" style="1" customWidth="1"/>
    <col min="10" max="10" width="10.57421875" style="1" customWidth="1"/>
    <col min="11" max="11" width="3.8515625" style="1" customWidth="1"/>
    <col min="12" max="12" width="6.00390625" style="1" customWidth="1"/>
    <col min="13" max="16384" width="9.140625" style="1" customWidth="1"/>
  </cols>
  <sheetData>
    <row r="1" ht="15.75" customHeight="1">
      <c r="A1" s="85" t="s">
        <v>119</v>
      </c>
    </row>
    <row r="2" ht="6" customHeight="1"/>
    <row r="3" ht="15.75" customHeight="1">
      <c r="A3" s="5" t="s">
        <v>112</v>
      </c>
    </row>
    <row r="4" ht="6" customHeight="1"/>
    <row r="5" spans="1:9" ht="15.75" customHeight="1">
      <c r="A5" s="2" t="s">
        <v>698</v>
      </c>
      <c r="B5" s="1">
        <v>9806</v>
      </c>
      <c r="C5" s="4" t="s">
        <v>713</v>
      </c>
      <c r="D5" s="1" t="s">
        <v>711</v>
      </c>
      <c r="E5" s="3">
        <v>0.5</v>
      </c>
      <c r="F5" s="4" t="s">
        <v>699</v>
      </c>
      <c r="G5" s="1" t="s">
        <v>2295</v>
      </c>
      <c r="H5" s="3">
        <v>0.6</v>
      </c>
      <c r="I5" s="4" t="s">
        <v>699</v>
      </c>
    </row>
    <row r="6" spans="1:9" ht="6" customHeight="1">
      <c r="A6" s="2"/>
      <c r="C6" s="4"/>
      <c r="E6" s="3"/>
      <c r="F6" s="4"/>
      <c r="H6" s="3"/>
      <c r="I6" s="4"/>
    </row>
    <row r="7" spans="1:9" ht="15.75" customHeight="1">
      <c r="A7" s="5" t="s">
        <v>118</v>
      </c>
      <c r="C7" s="4"/>
      <c r="E7" s="3"/>
      <c r="F7" s="4"/>
      <c r="H7" s="3"/>
      <c r="I7" s="4"/>
    </row>
    <row r="8" spans="1:9" ht="6" customHeight="1">
      <c r="A8" s="5"/>
      <c r="C8" s="4"/>
      <c r="E8" s="3"/>
      <c r="F8" s="4"/>
      <c r="H8" s="3"/>
      <c r="I8" s="4"/>
    </row>
    <row r="9" spans="1:9" ht="15.75" customHeight="1">
      <c r="A9" s="5" t="s">
        <v>113</v>
      </c>
      <c r="C9" s="4"/>
      <c r="E9" s="3"/>
      <c r="F9" s="4"/>
      <c r="H9" s="3"/>
      <c r="I9" s="4"/>
    </row>
    <row r="10" spans="1:9" ht="6.75" customHeight="1">
      <c r="A10" s="4"/>
      <c r="C10" s="4"/>
      <c r="E10" s="3"/>
      <c r="F10" s="4"/>
      <c r="H10" s="3"/>
      <c r="I10" s="4"/>
    </row>
    <row r="11" spans="1:9" ht="15.75" customHeight="1">
      <c r="A11" s="4" t="s">
        <v>1525</v>
      </c>
      <c r="C11" s="4"/>
      <c r="E11" s="3"/>
      <c r="F11" s="4"/>
      <c r="H11" s="3"/>
      <c r="I11" s="4"/>
    </row>
    <row r="12" spans="1:9" ht="15.75" customHeight="1">
      <c r="A12" s="4" t="s">
        <v>1526</v>
      </c>
      <c r="C12" s="4"/>
      <c r="E12" s="3"/>
      <c r="F12" s="4"/>
      <c r="H12" s="3"/>
      <c r="I12" s="4"/>
    </row>
    <row r="13" spans="1:9" ht="15.75" customHeight="1">
      <c r="A13" s="4" t="s">
        <v>1527</v>
      </c>
      <c r="C13" s="4"/>
      <c r="E13" s="3"/>
      <c r="F13" s="4"/>
      <c r="H13" s="3"/>
      <c r="I13" s="4"/>
    </row>
    <row r="14" spans="1:9" ht="15.75" customHeight="1">
      <c r="A14" s="4" t="s">
        <v>1941</v>
      </c>
      <c r="C14" s="4"/>
      <c r="E14" s="3"/>
      <c r="F14" s="4"/>
      <c r="H14" s="3"/>
      <c r="I14" s="4"/>
    </row>
    <row r="15" spans="1:9" ht="6" customHeight="1">
      <c r="A15" s="4"/>
      <c r="C15" s="4"/>
      <c r="E15" s="3"/>
      <c r="F15" s="4"/>
      <c r="H15" s="3"/>
      <c r="I15" s="4"/>
    </row>
    <row r="16" spans="1:6" ht="15.75" customHeight="1">
      <c r="A16" s="4"/>
      <c r="C16" s="4"/>
      <c r="D16" s="337" t="s">
        <v>1889</v>
      </c>
      <c r="E16" s="92" t="s">
        <v>73</v>
      </c>
      <c r="F16" s="4"/>
    </row>
    <row r="17" spans="1:6" ht="15.75" customHeight="1">
      <c r="A17" s="4"/>
      <c r="C17" s="4"/>
      <c r="D17" s="337"/>
      <c r="E17" s="92" t="s">
        <v>1528</v>
      </c>
      <c r="F17" s="4"/>
    </row>
    <row r="18" spans="1:6" ht="6" customHeight="1">
      <c r="A18" s="4"/>
      <c r="C18" s="4"/>
      <c r="E18" s="3"/>
      <c r="F18" s="4"/>
    </row>
    <row r="19" spans="1:8" ht="15.75" customHeight="1">
      <c r="A19" s="4"/>
      <c r="C19" s="4"/>
      <c r="E19" s="4" t="s">
        <v>1944</v>
      </c>
      <c r="F19" s="3">
        <f>+H5/2</f>
        <v>0.3</v>
      </c>
      <c r="G19" s="4" t="s">
        <v>699</v>
      </c>
      <c r="H19" s="4"/>
    </row>
    <row r="20" spans="1:6" ht="6" customHeight="1">
      <c r="A20" s="4"/>
      <c r="C20" s="4"/>
      <c r="E20" s="3"/>
      <c r="F20" s="4"/>
    </row>
    <row r="21" spans="1:6" ht="15.75" customHeight="1">
      <c r="A21" s="4"/>
      <c r="C21" s="4"/>
      <c r="D21" s="337" t="s">
        <v>1889</v>
      </c>
      <c r="E21" s="92" t="s">
        <v>72</v>
      </c>
      <c r="F21" s="4"/>
    </row>
    <row r="22" spans="1:6" ht="6" customHeight="1">
      <c r="A22" s="4"/>
      <c r="C22" s="4"/>
      <c r="E22" s="3"/>
      <c r="F22" s="4"/>
    </row>
    <row r="23" spans="1:7" ht="15.75" customHeight="1">
      <c r="A23" s="4"/>
      <c r="C23" s="4"/>
      <c r="E23" s="1" t="s">
        <v>1943</v>
      </c>
      <c r="F23" s="6">
        <f>+B5*F19</f>
        <v>2941.7999999999997</v>
      </c>
      <c r="G23" s="4" t="s">
        <v>700</v>
      </c>
    </row>
    <row r="24" spans="1:7" ht="6" customHeight="1">
      <c r="A24" s="4"/>
      <c r="C24" s="4"/>
      <c r="F24" s="6"/>
      <c r="G24" s="4"/>
    </row>
    <row r="25" spans="1:7" ht="15.75" customHeight="1">
      <c r="A25" s="4"/>
      <c r="C25" s="4"/>
      <c r="D25" s="337" t="s">
        <v>1889</v>
      </c>
      <c r="E25" s="4" t="s">
        <v>274</v>
      </c>
      <c r="F25" s="6"/>
      <c r="G25" s="4"/>
    </row>
    <row r="26" spans="1:7" ht="6" customHeight="1">
      <c r="A26" s="4"/>
      <c r="C26" s="4"/>
      <c r="F26" s="6"/>
      <c r="G26" s="4"/>
    </row>
    <row r="27" spans="1:7" ht="15.75" customHeight="1">
      <c r="A27" s="4"/>
      <c r="C27" s="4"/>
      <c r="E27" s="1" t="s">
        <v>1942</v>
      </c>
      <c r="F27" s="3">
        <f>+H5*E5</f>
        <v>0.3</v>
      </c>
      <c r="G27" s="4" t="s">
        <v>108</v>
      </c>
    </row>
    <row r="28" spans="1:7" ht="6" customHeight="1">
      <c r="A28" s="4"/>
      <c r="C28" s="4"/>
      <c r="F28" s="6"/>
      <c r="G28" s="4"/>
    </row>
    <row r="29" spans="1:7" ht="15.75" customHeight="1">
      <c r="A29" s="4"/>
      <c r="C29" s="4"/>
      <c r="D29" s="337" t="s">
        <v>1889</v>
      </c>
      <c r="E29" s="4" t="s">
        <v>1945</v>
      </c>
      <c r="F29" s="6"/>
      <c r="G29" s="4"/>
    </row>
    <row r="30" spans="1:7" ht="6" customHeight="1">
      <c r="A30" s="4"/>
      <c r="C30" s="4"/>
      <c r="F30" s="6"/>
      <c r="G30" s="4"/>
    </row>
    <row r="31" spans="1:7" ht="15.75" customHeight="1">
      <c r="A31" s="4"/>
      <c r="C31" s="4"/>
      <c r="E31" s="1" t="s">
        <v>74</v>
      </c>
      <c r="F31" s="11">
        <f>+F23*F27</f>
        <v>882.5399999999998</v>
      </c>
      <c r="G31" s="9" t="s">
        <v>704</v>
      </c>
    </row>
    <row r="32" spans="1:9" ht="6" customHeight="1">
      <c r="A32" s="4"/>
      <c r="C32" s="4"/>
      <c r="E32" s="3"/>
      <c r="F32" s="4"/>
      <c r="H32" s="3"/>
      <c r="I32" s="4"/>
    </row>
    <row r="33" spans="2:9" ht="6" customHeight="1">
      <c r="B33" s="3"/>
      <c r="C33" s="4"/>
      <c r="E33" s="6"/>
      <c r="F33" s="4"/>
      <c r="H33" s="3"/>
      <c r="I33" s="4"/>
    </row>
    <row r="34" ht="15.75" customHeight="1">
      <c r="A34" s="4" t="s">
        <v>75</v>
      </c>
    </row>
    <row r="35" ht="15.75" customHeight="1">
      <c r="A35" s="4" t="s">
        <v>76</v>
      </c>
    </row>
    <row r="36" ht="15.75" customHeight="1">
      <c r="A36" s="4" t="s">
        <v>77</v>
      </c>
    </row>
    <row r="37" ht="15.75" customHeight="1">
      <c r="A37" s="4" t="s">
        <v>78</v>
      </c>
    </row>
    <row r="38" ht="15.75" customHeight="1">
      <c r="A38" s="4" t="s">
        <v>79</v>
      </c>
    </row>
    <row r="39" ht="15.75" customHeight="1">
      <c r="A39" s="4" t="s">
        <v>2093</v>
      </c>
    </row>
    <row r="40" ht="15.75" customHeight="1">
      <c r="A40" s="4" t="s">
        <v>2094</v>
      </c>
    </row>
    <row r="41" ht="6" customHeight="1">
      <c r="A41" s="4"/>
    </row>
    <row r="42" ht="15.75" customHeight="1">
      <c r="A42" s="338" t="s">
        <v>1947</v>
      </c>
    </row>
    <row r="43" ht="15.75" customHeight="1">
      <c r="A43" s="4" t="s">
        <v>1946</v>
      </c>
    </row>
    <row r="44" ht="15.75" customHeight="1">
      <c r="A44" s="4" t="s">
        <v>80</v>
      </c>
    </row>
    <row r="45" ht="15.75" customHeight="1">
      <c r="A45" s="4" t="s">
        <v>81</v>
      </c>
    </row>
    <row r="46" ht="15.75" customHeight="1">
      <c r="A46" s="4" t="s">
        <v>82</v>
      </c>
    </row>
    <row r="47" ht="15.75" customHeight="1">
      <c r="A47" s="4" t="s">
        <v>83</v>
      </c>
    </row>
    <row r="48" ht="15.75" customHeight="1">
      <c r="A48" s="4" t="s">
        <v>84</v>
      </c>
    </row>
    <row r="49" ht="6" customHeight="1"/>
    <row r="50" ht="15.75" customHeight="1">
      <c r="A50" s="4" t="s">
        <v>1564</v>
      </c>
    </row>
    <row r="51" ht="15.75" customHeight="1">
      <c r="A51" s="5" t="s">
        <v>1565</v>
      </c>
    </row>
    <row r="52" ht="6" customHeight="1">
      <c r="A52" s="14"/>
    </row>
    <row r="53" spans="1:7" ht="15.75" customHeight="1">
      <c r="A53" s="14"/>
      <c r="D53" s="337" t="s">
        <v>1889</v>
      </c>
      <c r="E53" s="4" t="s">
        <v>1566</v>
      </c>
      <c r="F53" s="6"/>
      <c r="G53" s="4"/>
    </row>
    <row r="54" spans="1:7" ht="15.75" customHeight="1">
      <c r="A54" s="14"/>
      <c r="E54" s="4" t="s">
        <v>1516</v>
      </c>
      <c r="F54" s="6"/>
      <c r="G54" s="4"/>
    </row>
    <row r="55" spans="1:7" ht="15.75" customHeight="1">
      <c r="A55" s="14"/>
      <c r="E55" s="4" t="s">
        <v>1517</v>
      </c>
      <c r="F55" s="6"/>
      <c r="G55" s="4"/>
    </row>
    <row r="56" spans="1:7" ht="6" customHeight="1">
      <c r="A56" s="14"/>
      <c r="E56" s="4"/>
      <c r="F56" s="6"/>
      <c r="G56" s="4"/>
    </row>
    <row r="57" spans="1:8" ht="15.75" customHeight="1">
      <c r="A57" s="14"/>
      <c r="E57" s="1" t="s">
        <v>2208</v>
      </c>
      <c r="F57" s="3">
        <f>+F19</f>
        <v>0.3</v>
      </c>
      <c r="G57" s="4" t="s">
        <v>699</v>
      </c>
      <c r="H57" s="4"/>
    </row>
    <row r="58" spans="1:7" ht="6" customHeight="1">
      <c r="A58" s="14"/>
      <c r="F58" s="6"/>
      <c r="G58" s="4"/>
    </row>
    <row r="59" spans="1:6" ht="15.75" customHeight="1">
      <c r="A59" s="14"/>
      <c r="D59" s="337" t="s">
        <v>1889</v>
      </c>
      <c r="E59" s="92" t="s">
        <v>1567</v>
      </c>
      <c r="F59" s="4"/>
    </row>
    <row r="60" spans="1:6" ht="15.75" customHeight="1">
      <c r="A60" s="14"/>
      <c r="D60" s="337"/>
      <c r="E60" s="4" t="s">
        <v>1568</v>
      </c>
      <c r="F60" s="4"/>
    </row>
    <row r="61" spans="1:6" ht="6" customHeight="1">
      <c r="A61" s="14"/>
      <c r="E61" s="3"/>
      <c r="F61" s="4"/>
    </row>
    <row r="62" spans="1:7" ht="15.75" customHeight="1">
      <c r="A62" s="14"/>
      <c r="E62" s="1" t="s">
        <v>1569</v>
      </c>
      <c r="F62" s="3">
        <f>+F57*F27</f>
        <v>0.09</v>
      </c>
      <c r="G62" s="4" t="s">
        <v>109</v>
      </c>
    </row>
    <row r="63" spans="1:7" ht="6" customHeight="1">
      <c r="A63" s="14"/>
      <c r="F63" s="3"/>
      <c r="G63" s="4"/>
    </row>
    <row r="64" spans="1:7" ht="15.75" customHeight="1">
      <c r="A64" s="14"/>
      <c r="E64" s="340" t="s">
        <v>1570</v>
      </c>
      <c r="F64" s="3"/>
      <c r="G64" s="4"/>
    </row>
    <row r="65" spans="1:7" ht="15.75" customHeight="1">
      <c r="A65" s="14"/>
      <c r="E65" s="4" t="s">
        <v>1571</v>
      </c>
      <c r="F65" s="3"/>
      <c r="G65" s="4"/>
    </row>
    <row r="66" spans="1:7" ht="6" customHeight="1">
      <c r="A66" s="14"/>
      <c r="F66" s="3"/>
      <c r="G66" s="4"/>
    </row>
    <row r="67" spans="1:6" ht="15.75" customHeight="1">
      <c r="A67" s="14"/>
      <c r="D67" s="337" t="s">
        <v>1889</v>
      </c>
      <c r="E67" s="92" t="s">
        <v>1401</v>
      </c>
      <c r="F67" s="4"/>
    </row>
    <row r="68" spans="1:6" ht="15.75" customHeight="1">
      <c r="A68" s="14"/>
      <c r="D68" s="337"/>
      <c r="E68" s="92" t="s">
        <v>2209</v>
      </c>
      <c r="F68" s="4"/>
    </row>
    <row r="69" spans="1:6" ht="15.75" customHeight="1">
      <c r="A69" s="14"/>
      <c r="E69" s="92" t="s">
        <v>2210</v>
      </c>
      <c r="F69" s="4"/>
    </row>
    <row r="70" spans="1:6" ht="15.75" customHeight="1">
      <c r="A70" s="14"/>
      <c r="E70" s="92" t="s">
        <v>2211</v>
      </c>
      <c r="F70" s="4"/>
    </row>
    <row r="71" spans="1:6" ht="6" customHeight="1">
      <c r="A71" s="14"/>
      <c r="E71" s="92"/>
      <c r="F71" s="4"/>
    </row>
    <row r="72" spans="1:6" ht="15.75" customHeight="1">
      <c r="A72" s="14"/>
      <c r="F72" s="92" t="s">
        <v>2212</v>
      </c>
    </row>
    <row r="73" spans="1:6" ht="6" customHeight="1">
      <c r="A73" s="14"/>
      <c r="F73" s="92"/>
    </row>
    <row r="74" spans="1:6" ht="15.75" customHeight="1">
      <c r="A74" s="14"/>
      <c r="E74" s="92" t="s">
        <v>2213</v>
      </c>
      <c r="F74" s="4"/>
    </row>
    <row r="75" spans="1:6" ht="15.75" customHeight="1">
      <c r="A75" s="14"/>
      <c r="E75" s="92" t="s">
        <v>2214</v>
      </c>
      <c r="F75" s="4"/>
    </row>
    <row r="76" spans="1:6" ht="6" customHeight="1">
      <c r="A76" s="14"/>
      <c r="E76" s="92"/>
      <c r="F76" s="4"/>
    </row>
    <row r="77" spans="1:8" ht="15.75" customHeight="1">
      <c r="A77" s="14"/>
      <c r="E77" s="4" t="s">
        <v>1572</v>
      </c>
      <c r="G77" s="3">
        <f>+(1/12)*E5*H5^3</f>
        <v>0.009</v>
      </c>
      <c r="H77" s="4" t="s">
        <v>110</v>
      </c>
    </row>
    <row r="78" spans="1:8" ht="6" customHeight="1">
      <c r="A78" s="14"/>
      <c r="E78" s="4"/>
      <c r="G78" s="3"/>
      <c r="H78" s="4"/>
    </row>
    <row r="79" spans="1:8" ht="15.75" customHeight="1">
      <c r="A79" s="14"/>
      <c r="E79" s="340" t="s">
        <v>1518</v>
      </c>
      <c r="G79" s="3"/>
      <c r="H79" s="4"/>
    </row>
    <row r="80" spans="1:8" ht="15.75" customHeight="1">
      <c r="A80" s="14"/>
      <c r="E80" s="4" t="s">
        <v>1519</v>
      </c>
      <c r="G80" s="3"/>
      <c r="H80" s="4"/>
    </row>
    <row r="81" spans="1:8" ht="15.75" customHeight="1">
      <c r="A81" s="14"/>
      <c r="E81" s="4" t="s">
        <v>1520</v>
      </c>
      <c r="G81" s="3"/>
      <c r="H81" s="4"/>
    </row>
    <row r="82" spans="1:8" ht="6" customHeight="1">
      <c r="A82" s="14"/>
      <c r="E82" s="4"/>
      <c r="G82" s="3"/>
      <c r="H82" s="4"/>
    </row>
    <row r="83" spans="1:8" ht="15.75" customHeight="1">
      <c r="A83" s="14"/>
      <c r="D83" s="337" t="s">
        <v>1889</v>
      </c>
      <c r="E83" s="4" t="s">
        <v>1573</v>
      </c>
      <c r="G83" s="3"/>
      <c r="H83" s="4"/>
    </row>
    <row r="84" spans="1:8" ht="6" customHeight="1">
      <c r="A84" s="14"/>
      <c r="E84" s="4"/>
      <c r="G84" s="3"/>
      <c r="H84" s="4"/>
    </row>
    <row r="85" spans="1:8" ht="15.75" customHeight="1">
      <c r="A85" s="14"/>
      <c r="E85" s="2" t="s">
        <v>2031</v>
      </c>
      <c r="G85" s="3">
        <f>+G77/F62</f>
        <v>0.09999999999999999</v>
      </c>
      <c r="H85" s="4" t="s">
        <v>699</v>
      </c>
    </row>
    <row r="86" spans="1:6" ht="6" customHeight="1">
      <c r="A86" s="14"/>
      <c r="E86" s="92"/>
      <c r="F86" s="4"/>
    </row>
    <row r="87" spans="1:5" ht="15.75" customHeight="1">
      <c r="A87" s="14"/>
      <c r="E87" s="4" t="s">
        <v>2032</v>
      </c>
    </row>
    <row r="88" spans="1:6" ht="15.75" customHeight="1">
      <c r="A88" s="14"/>
      <c r="E88" s="4" t="s">
        <v>1574</v>
      </c>
      <c r="F88" s="4"/>
    </row>
    <row r="89" spans="1:5" ht="15.75" customHeight="1">
      <c r="A89" s="14"/>
      <c r="E89" s="4" t="s">
        <v>1967</v>
      </c>
    </row>
    <row r="90" spans="1:9" ht="15.75" customHeight="1">
      <c r="A90" s="14"/>
      <c r="E90" s="4" t="s">
        <v>1968</v>
      </c>
      <c r="F90" s="4"/>
      <c r="H90" s="3"/>
      <c r="I90" s="4"/>
    </row>
    <row r="91" spans="1:9" ht="6" customHeight="1">
      <c r="A91" s="14"/>
      <c r="E91" s="2"/>
      <c r="F91" s="3"/>
      <c r="G91" s="4"/>
      <c r="H91" s="92"/>
      <c r="I91" s="4"/>
    </row>
    <row r="92" spans="1:8" ht="15.75" customHeight="1">
      <c r="A92" s="14"/>
      <c r="E92" s="287" t="s">
        <v>1969</v>
      </c>
      <c r="F92" s="8"/>
      <c r="G92" s="8">
        <f>+F57+G85</f>
        <v>0.39999999999999997</v>
      </c>
      <c r="H92" s="9" t="s">
        <v>699</v>
      </c>
    </row>
    <row r="93" ht="6" customHeight="1">
      <c r="A93" s="14"/>
    </row>
    <row r="94" spans="1:5" ht="15.75" customHeight="1">
      <c r="A94" s="14"/>
      <c r="E94" s="4" t="s">
        <v>1970</v>
      </c>
    </row>
    <row r="95" ht="6" customHeight="1"/>
    <row r="96" spans="1:11" ht="6" customHeight="1">
      <c r="A96" s="89"/>
      <c r="B96" s="90"/>
      <c r="C96" s="88"/>
      <c r="D96" s="89"/>
      <c r="E96" s="90"/>
      <c r="F96" s="88"/>
      <c r="G96" s="87"/>
      <c r="H96" s="87"/>
      <c r="I96" s="87"/>
      <c r="J96" s="87"/>
      <c r="K96" s="87"/>
    </row>
    <row r="97" ht="6" customHeight="1"/>
    <row r="98" ht="15.75" customHeight="1">
      <c r="A98" s="85" t="s">
        <v>1463</v>
      </c>
    </row>
    <row r="99" ht="6" customHeight="1"/>
    <row r="100" spans="1:4" ht="15.75" customHeight="1">
      <c r="A100" s="5" t="s">
        <v>112</v>
      </c>
      <c r="D100" s="17"/>
    </row>
    <row r="101" ht="6" customHeight="1"/>
    <row r="102" spans="1:9" ht="15.75" customHeight="1">
      <c r="A102" s="2" t="s">
        <v>698</v>
      </c>
      <c r="B102" s="1">
        <v>9806</v>
      </c>
      <c r="C102" s="4" t="s">
        <v>713</v>
      </c>
      <c r="D102" s="1" t="s">
        <v>2294</v>
      </c>
      <c r="E102" s="3">
        <v>2</v>
      </c>
      <c r="F102" s="4" t="s">
        <v>699</v>
      </c>
      <c r="G102" s="1" t="s">
        <v>1462</v>
      </c>
      <c r="H102" s="3">
        <v>0.1</v>
      </c>
      <c r="I102" s="4" t="s">
        <v>701</v>
      </c>
    </row>
    <row r="103" spans="1:6" ht="15.75" customHeight="1">
      <c r="A103" s="1" t="s">
        <v>711</v>
      </c>
      <c r="B103" s="3">
        <v>1</v>
      </c>
      <c r="C103" s="4" t="s">
        <v>699</v>
      </c>
      <c r="D103" s="1" t="s">
        <v>2295</v>
      </c>
      <c r="E103" s="3">
        <v>1.5</v>
      </c>
      <c r="F103" s="4" t="s">
        <v>699</v>
      </c>
    </row>
    <row r="104" spans="2:6" ht="6" customHeight="1">
      <c r="B104" s="3"/>
      <c r="C104" s="4"/>
      <c r="E104" s="3"/>
      <c r="F104" s="4"/>
    </row>
    <row r="105" spans="1:6" ht="15.75" customHeight="1">
      <c r="A105" s="5" t="s">
        <v>1460</v>
      </c>
      <c r="B105" s="3"/>
      <c r="C105" s="4"/>
      <c r="E105" s="3"/>
      <c r="F105" s="4"/>
    </row>
    <row r="106" spans="3:6" ht="6" customHeight="1">
      <c r="C106" s="4"/>
      <c r="F106" s="4"/>
    </row>
    <row r="107" spans="1:6" ht="15.75" customHeight="1">
      <c r="A107" s="5" t="s">
        <v>113</v>
      </c>
      <c r="C107" s="4"/>
      <c r="F107" s="4"/>
    </row>
    <row r="108" spans="1:6" ht="6" customHeight="1">
      <c r="A108" s="5"/>
      <c r="C108" s="4"/>
      <c r="F108" s="4"/>
    </row>
    <row r="109" spans="1:6" ht="15.75" customHeight="1">
      <c r="A109" s="4" t="s">
        <v>1575</v>
      </c>
      <c r="C109" s="4"/>
      <c r="F109" s="4"/>
    </row>
    <row r="110" spans="1:6" ht="15.75" customHeight="1">
      <c r="A110" s="4" t="s">
        <v>1579</v>
      </c>
      <c r="C110" s="4"/>
      <c r="F110" s="4"/>
    </row>
    <row r="111" spans="1:6" ht="15.75" customHeight="1">
      <c r="A111" s="4" t="s">
        <v>1580</v>
      </c>
      <c r="C111" s="4"/>
      <c r="F111" s="4"/>
    </row>
    <row r="112" spans="1:6" ht="15.75" customHeight="1">
      <c r="A112" s="4" t="s">
        <v>1576</v>
      </c>
      <c r="C112" s="4"/>
      <c r="F112" s="4"/>
    </row>
    <row r="113" spans="1:6" ht="15.75" customHeight="1">
      <c r="A113" s="4" t="s">
        <v>1577</v>
      </c>
      <c r="C113" s="4"/>
      <c r="F113" s="4"/>
    </row>
    <row r="114" spans="1:6" ht="15.75" customHeight="1">
      <c r="A114" s="4" t="s">
        <v>1578</v>
      </c>
      <c r="C114" s="4"/>
      <c r="F114" s="4"/>
    </row>
    <row r="115" spans="1:6" ht="6" customHeight="1">
      <c r="A115" s="5"/>
      <c r="C115" s="4"/>
      <c r="F115" s="4"/>
    </row>
    <row r="116" spans="1:6" ht="15.75" customHeight="1">
      <c r="A116" s="4" t="s">
        <v>2634</v>
      </c>
      <c r="C116" s="4"/>
      <c r="F116" s="4"/>
    </row>
    <row r="117" spans="1:6" ht="6.75" customHeight="1">
      <c r="A117" s="5"/>
      <c r="C117" s="4"/>
      <c r="F117" s="4"/>
    </row>
    <row r="118" spans="1:7" ht="15.75" customHeight="1">
      <c r="A118" s="1" t="s">
        <v>2635</v>
      </c>
      <c r="B118" s="1">
        <f>+H102*10^5</f>
        <v>10000</v>
      </c>
      <c r="C118" s="4" t="s">
        <v>700</v>
      </c>
      <c r="D118" s="4" t="s">
        <v>1789</v>
      </c>
      <c r="F118" s="3">
        <f>+B103*(E102-E103)</f>
        <v>0.5</v>
      </c>
      <c r="G118" s="4" t="s">
        <v>108</v>
      </c>
    </row>
    <row r="119" spans="1:6" ht="6.75" customHeight="1">
      <c r="A119" s="5"/>
      <c r="C119" s="4"/>
      <c r="F119" s="4"/>
    </row>
    <row r="120" spans="1:6" ht="15.75" customHeight="1">
      <c r="A120" s="1" t="s">
        <v>2636</v>
      </c>
      <c r="B120" s="1">
        <f>+B118*F118</f>
        <v>5000</v>
      </c>
      <c r="C120" s="4" t="s">
        <v>704</v>
      </c>
      <c r="E120" s="4" t="s">
        <v>2637</v>
      </c>
      <c r="F120" s="4"/>
    </row>
    <row r="121" spans="1:6" ht="15.75" customHeight="1">
      <c r="A121" s="5"/>
      <c r="C121" s="4"/>
      <c r="E121" s="4" t="s">
        <v>1897</v>
      </c>
      <c r="F121" s="4"/>
    </row>
    <row r="122" spans="1:6" ht="6" customHeight="1">
      <c r="A122" s="5"/>
      <c r="C122" s="4"/>
      <c r="F122" s="4"/>
    </row>
    <row r="123" spans="1:6" ht="15.75" customHeight="1">
      <c r="A123" s="4" t="s">
        <v>2638</v>
      </c>
      <c r="C123" s="4"/>
      <c r="F123" s="4"/>
    </row>
    <row r="124" spans="1:6" ht="15.75" customHeight="1">
      <c r="A124" s="4" t="s">
        <v>2639</v>
      </c>
      <c r="C124" s="4"/>
      <c r="F124" s="4"/>
    </row>
    <row r="125" spans="3:6" ht="6" customHeight="1">
      <c r="C125" s="4"/>
      <c r="F125" s="4"/>
    </row>
    <row r="126" spans="1:3" ht="15.75" customHeight="1">
      <c r="A126" s="1" t="s">
        <v>2640</v>
      </c>
      <c r="B126" s="3">
        <f>+B118/B102</f>
        <v>1.0197838058331634</v>
      </c>
      <c r="C126" s="4" t="s">
        <v>699</v>
      </c>
    </row>
    <row r="127" spans="2:3" ht="6" customHeight="1">
      <c r="B127" s="3"/>
      <c r="C127" s="4"/>
    </row>
    <row r="128" spans="1:3" ht="15.75" customHeight="1">
      <c r="A128" s="4" t="s">
        <v>2641</v>
      </c>
      <c r="B128" s="3"/>
      <c r="C128" s="4"/>
    </row>
    <row r="129" spans="2:3" ht="6" customHeight="1">
      <c r="B129" s="3"/>
      <c r="C129" s="4"/>
    </row>
    <row r="130" spans="2:6" ht="15.75" customHeight="1">
      <c r="B130" s="3"/>
      <c r="C130" s="4"/>
      <c r="D130" s="337" t="s">
        <v>1889</v>
      </c>
      <c r="E130" s="92" t="s">
        <v>2642</v>
      </c>
      <c r="F130" s="4"/>
    </row>
    <row r="131" spans="2:6" ht="15.75" customHeight="1">
      <c r="B131" s="3"/>
      <c r="C131" s="4"/>
      <c r="D131" s="337"/>
      <c r="E131" s="92" t="s">
        <v>273</v>
      </c>
      <c r="F131" s="4"/>
    </row>
    <row r="132" spans="2:6" ht="6.75" customHeight="1">
      <c r="B132" s="3"/>
      <c r="C132" s="4"/>
      <c r="E132" s="3"/>
      <c r="F132" s="4"/>
    </row>
    <row r="133" spans="2:8" ht="15.75" customHeight="1">
      <c r="B133" s="3"/>
      <c r="C133" s="4"/>
      <c r="E133" s="4" t="s">
        <v>2643</v>
      </c>
      <c r="G133" s="3">
        <f>+B126+E103/2</f>
        <v>1.7697838058331634</v>
      </c>
      <c r="H133" s="4" t="s">
        <v>699</v>
      </c>
    </row>
    <row r="134" spans="2:6" ht="6.75" customHeight="1">
      <c r="B134" s="3"/>
      <c r="C134" s="4"/>
      <c r="E134" s="3"/>
      <c r="F134" s="4"/>
    </row>
    <row r="135" spans="2:6" ht="15.75" customHeight="1">
      <c r="B135" s="3"/>
      <c r="C135" s="4"/>
      <c r="D135" s="337" t="s">
        <v>1889</v>
      </c>
      <c r="E135" s="92" t="s">
        <v>2644</v>
      </c>
      <c r="F135" s="4"/>
    </row>
    <row r="136" spans="2:6" ht="6" customHeight="1">
      <c r="B136" s="3"/>
      <c r="C136" s="4"/>
      <c r="E136" s="3"/>
      <c r="F136" s="4"/>
    </row>
    <row r="137" spans="2:7" ht="15.75" customHeight="1">
      <c r="B137" s="3"/>
      <c r="C137" s="4"/>
      <c r="E137" s="1" t="s">
        <v>2645</v>
      </c>
      <c r="F137" s="6">
        <f>+B102*G133</f>
        <v>17354.5</v>
      </c>
      <c r="G137" s="4" t="s">
        <v>700</v>
      </c>
    </row>
    <row r="138" spans="2:7" ht="6" customHeight="1">
      <c r="B138" s="3"/>
      <c r="C138" s="4"/>
      <c r="F138" s="6"/>
      <c r="G138" s="4"/>
    </row>
    <row r="139" spans="2:7" ht="15.75" customHeight="1">
      <c r="B139" s="3"/>
      <c r="C139" s="4"/>
      <c r="D139" s="337" t="s">
        <v>1889</v>
      </c>
      <c r="E139" s="4" t="s">
        <v>274</v>
      </c>
      <c r="F139" s="6"/>
      <c r="G139" s="4"/>
    </row>
    <row r="140" spans="2:7" ht="6" customHeight="1">
      <c r="B140" s="3"/>
      <c r="C140" s="4"/>
      <c r="F140" s="6"/>
      <c r="G140" s="4"/>
    </row>
    <row r="141" spans="2:7" ht="15.75" customHeight="1">
      <c r="B141" s="3"/>
      <c r="C141" s="4"/>
      <c r="E141" s="1" t="s">
        <v>275</v>
      </c>
      <c r="F141" s="3">
        <f>+B103*E103</f>
        <v>1.5</v>
      </c>
      <c r="G141" s="4" t="s">
        <v>108</v>
      </c>
    </row>
    <row r="142" spans="2:7" ht="6" customHeight="1">
      <c r="B142" s="3"/>
      <c r="C142" s="4"/>
      <c r="F142" s="6"/>
      <c r="G142" s="4"/>
    </row>
    <row r="143" spans="2:7" ht="15.75" customHeight="1">
      <c r="B143" s="3"/>
      <c r="C143" s="4"/>
      <c r="D143" s="337" t="s">
        <v>1889</v>
      </c>
      <c r="E143" s="4" t="s">
        <v>1400</v>
      </c>
      <c r="F143" s="6"/>
      <c r="G143" s="4"/>
    </row>
    <row r="144" spans="2:7" ht="6.75" customHeight="1">
      <c r="B144" s="3"/>
      <c r="C144" s="4"/>
      <c r="F144" s="6"/>
      <c r="G144" s="4"/>
    </row>
    <row r="145" spans="2:7" ht="15.75" customHeight="1">
      <c r="B145" s="3"/>
      <c r="C145" s="4"/>
      <c r="E145" s="1" t="s">
        <v>2646</v>
      </c>
      <c r="F145" s="6">
        <f>+F137*F141</f>
        <v>26031.75</v>
      </c>
      <c r="G145" s="4" t="s">
        <v>704</v>
      </c>
    </row>
    <row r="146" spans="2:3" ht="6.75" customHeight="1">
      <c r="B146" s="3"/>
      <c r="C146" s="4"/>
    </row>
    <row r="147" spans="1:3" ht="15.75" customHeight="1">
      <c r="A147" s="4" t="s">
        <v>2647</v>
      </c>
      <c r="B147" s="3"/>
      <c r="C147" s="4"/>
    </row>
    <row r="148" spans="2:3" ht="6" customHeight="1">
      <c r="B148" s="3"/>
      <c r="C148" s="4"/>
    </row>
    <row r="149" spans="1:7" ht="15.75" customHeight="1">
      <c r="A149" s="10" t="s">
        <v>2648</v>
      </c>
      <c r="B149" s="11">
        <f>+F145+B120</f>
        <v>31031.75</v>
      </c>
      <c r="C149" s="9" t="s">
        <v>704</v>
      </c>
      <c r="E149" s="3"/>
      <c r="F149" s="4"/>
      <c r="G149" s="17"/>
    </row>
    <row r="150" spans="3:6" ht="6" customHeight="1">
      <c r="C150" s="4"/>
      <c r="E150" s="3"/>
      <c r="F150" s="4"/>
    </row>
    <row r="151" ht="15.75" customHeight="1">
      <c r="A151" s="4" t="s">
        <v>2651</v>
      </c>
    </row>
    <row r="152" ht="15.75" customHeight="1">
      <c r="A152" s="4" t="s">
        <v>2650</v>
      </c>
    </row>
    <row r="153" ht="15.75" customHeight="1">
      <c r="A153" s="4" t="s">
        <v>2649</v>
      </c>
    </row>
    <row r="154" ht="15.75" customHeight="1">
      <c r="A154" s="4" t="s">
        <v>1901</v>
      </c>
    </row>
    <row r="155" ht="6.75" customHeight="1"/>
    <row r="156" ht="15.75" customHeight="1">
      <c r="D156" s="4" t="s">
        <v>1529</v>
      </c>
    </row>
    <row r="157" ht="6.75" customHeight="1"/>
    <row r="158" ht="15.75" customHeight="1">
      <c r="A158" s="4" t="s">
        <v>2654</v>
      </c>
    </row>
    <row r="159" ht="15.75" customHeight="1">
      <c r="A159" s="4" t="s">
        <v>2652</v>
      </c>
    </row>
    <row r="160" ht="15.75" customHeight="1">
      <c r="A160" s="4" t="s">
        <v>2653</v>
      </c>
    </row>
    <row r="161" ht="6.75" customHeight="1">
      <c r="A161" s="4"/>
    </row>
    <row r="162" spans="1:7" ht="15.75" customHeight="1">
      <c r="A162" s="4"/>
      <c r="D162" s="337" t="s">
        <v>1889</v>
      </c>
      <c r="E162" s="4" t="s">
        <v>2655</v>
      </c>
      <c r="F162" s="6"/>
      <c r="G162" s="4"/>
    </row>
    <row r="163" spans="1:7" ht="15.75" customHeight="1">
      <c r="A163" s="4"/>
      <c r="E163" s="4" t="s">
        <v>267</v>
      </c>
      <c r="F163" s="6"/>
      <c r="G163" s="4"/>
    </row>
    <row r="164" spans="1:7" ht="15.75" customHeight="1">
      <c r="A164" s="4"/>
      <c r="E164" s="4" t="s">
        <v>128</v>
      </c>
      <c r="F164" s="6"/>
      <c r="G164" s="4"/>
    </row>
    <row r="165" spans="1:7" ht="6.75" customHeight="1">
      <c r="A165" s="4"/>
      <c r="E165" s="4"/>
      <c r="F165" s="6"/>
      <c r="G165" s="4"/>
    </row>
    <row r="166" spans="1:8" ht="15.75" customHeight="1">
      <c r="A166" s="4"/>
      <c r="E166" s="1" t="s">
        <v>123</v>
      </c>
      <c r="F166" s="3">
        <f>+G133</f>
        <v>1.7697838058331634</v>
      </c>
      <c r="G166" s="4" t="s">
        <v>699</v>
      </c>
      <c r="H166" s="4"/>
    </row>
    <row r="167" spans="1:7" ht="6.75" customHeight="1">
      <c r="A167" s="4"/>
      <c r="F167" s="6"/>
      <c r="G167" s="4"/>
    </row>
    <row r="168" spans="1:6" ht="15.75" customHeight="1">
      <c r="A168" s="4"/>
      <c r="D168" s="337" t="s">
        <v>1889</v>
      </c>
      <c r="E168" s="92" t="s">
        <v>2656</v>
      </c>
      <c r="F168" s="4"/>
    </row>
    <row r="169" spans="1:6" ht="6.75" customHeight="1">
      <c r="A169" s="4"/>
      <c r="E169" s="3"/>
      <c r="F169" s="4"/>
    </row>
    <row r="170" spans="1:7" ht="15.75" customHeight="1">
      <c r="A170" s="4"/>
      <c r="E170" s="1" t="s">
        <v>124</v>
      </c>
      <c r="F170" s="3">
        <f>+F166*F141</f>
        <v>2.6546757087497452</v>
      </c>
      <c r="G170" s="4" t="s">
        <v>109</v>
      </c>
    </row>
    <row r="171" spans="1:6" ht="6.75" customHeight="1">
      <c r="A171" s="4"/>
      <c r="E171" s="3"/>
      <c r="F171" s="4"/>
    </row>
    <row r="172" spans="1:6" ht="15.75" customHeight="1">
      <c r="A172" s="4"/>
      <c r="D172" s="337" t="s">
        <v>1889</v>
      </c>
      <c r="E172" s="92" t="s">
        <v>1401</v>
      </c>
      <c r="F172" s="4"/>
    </row>
    <row r="173" spans="1:6" ht="15.75" customHeight="1">
      <c r="A173" s="4"/>
      <c r="E173" s="92" t="s">
        <v>1893</v>
      </c>
      <c r="F173" s="4"/>
    </row>
    <row r="174" spans="1:6" ht="6.75" customHeight="1">
      <c r="A174" s="4"/>
      <c r="E174" s="92"/>
      <c r="F174" s="4"/>
    </row>
    <row r="175" spans="1:8" ht="15.75" customHeight="1">
      <c r="A175" s="4"/>
      <c r="E175" s="4" t="s">
        <v>122</v>
      </c>
      <c r="G175" s="3">
        <f>+(0.0833333333333333)*B103*E103^3</f>
        <v>0.2812499999999999</v>
      </c>
      <c r="H175" s="4" t="s">
        <v>110</v>
      </c>
    </row>
    <row r="176" spans="1:6" ht="6.75" customHeight="1">
      <c r="A176" s="4"/>
      <c r="F176" s="4"/>
    </row>
    <row r="177" spans="1:5" ht="15.75" customHeight="1">
      <c r="A177" s="4"/>
      <c r="D177" s="337" t="s">
        <v>1889</v>
      </c>
      <c r="E177" s="4" t="s">
        <v>2657</v>
      </c>
    </row>
    <row r="178" spans="1:9" ht="6.75" customHeight="1">
      <c r="A178" s="4"/>
      <c r="E178" s="6"/>
      <c r="F178" s="4"/>
      <c r="H178" s="3"/>
      <c r="I178" s="4"/>
    </row>
    <row r="179" spans="1:9" ht="15.75" customHeight="1">
      <c r="A179" s="4"/>
      <c r="E179" s="2" t="s">
        <v>2658</v>
      </c>
      <c r="F179" s="3">
        <f>+G175/F170</f>
        <v>0.10594514391080119</v>
      </c>
      <c r="G179" s="4" t="s">
        <v>699</v>
      </c>
      <c r="I179" s="4"/>
    </row>
    <row r="180" spans="1:9" ht="6.75" customHeight="1">
      <c r="A180" s="4"/>
      <c r="E180" s="2"/>
      <c r="F180" s="3"/>
      <c r="G180" s="4"/>
      <c r="H180" s="92"/>
      <c r="I180" s="4"/>
    </row>
    <row r="181" spans="1:7" ht="15.75" customHeight="1">
      <c r="A181" s="4"/>
      <c r="E181" s="2"/>
      <c r="F181" s="3"/>
      <c r="G181" s="92" t="s">
        <v>1894</v>
      </c>
    </row>
    <row r="182" spans="1:7" ht="6" customHeight="1">
      <c r="A182" s="4"/>
      <c r="E182" s="2"/>
      <c r="F182" s="3"/>
      <c r="G182" s="92"/>
    </row>
    <row r="183" spans="1:10" ht="15.75" customHeight="1">
      <c r="A183" s="4"/>
      <c r="E183" s="2"/>
      <c r="F183" s="3"/>
      <c r="G183" s="100" t="s">
        <v>2659</v>
      </c>
      <c r="I183" s="15">
        <f>+F166+F179</f>
        <v>1.8757289497439646</v>
      </c>
      <c r="J183" s="14" t="s">
        <v>699</v>
      </c>
    </row>
    <row r="184" ht="6.75" customHeight="1"/>
    <row r="185" ht="15.75" customHeight="1">
      <c r="A185" s="4" t="s">
        <v>144</v>
      </c>
    </row>
    <row r="186" ht="6" customHeight="1"/>
    <row r="187" spans="1:8" ht="15.75" customHeight="1">
      <c r="A187" s="4" t="s">
        <v>1909</v>
      </c>
      <c r="B187" s="3">
        <f>+(E102-E103)/2+E103</f>
        <v>1.75</v>
      </c>
      <c r="C187" s="4" t="s">
        <v>699</v>
      </c>
      <c r="E187" s="4" t="s">
        <v>145</v>
      </c>
      <c r="G187" s="3">
        <f>+E103/2-F179</f>
        <v>0.6440548560891988</v>
      </c>
      <c r="H187" s="4" t="s">
        <v>699</v>
      </c>
    </row>
    <row r="188" spans="5:6" ht="6" customHeight="1">
      <c r="E188" s="3"/>
      <c r="F188" s="4"/>
    </row>
    <row r="189" spans="1:6" ht="15.75" customHeight="1">
      <c r="A189" s="4" t="s">
        <v>1530</v>
      </c>
      <c r="B189" s="3"/>
      <c r="C189" s="4"/>
      <c r="D189" s="16"/>
      <c r="E189" s="15"/>
      <c r="F189" s="14"/>
    </row>
    <row r="190" spans="1:6" ht="6" customHeight="1">
      <c r="A190" s="2"/>
      <c r="B190" s="3"/>
      <c r="C190" s="4"/>
      <c r="D190" s="16"/>
      <c r="E190" s="15"/>
      <c r="F190" s="14"/>
    </row>
    <row r="191" spans="1:5" ht="15.75" customHeight="1">
      <c r="A191" s="9" t="s">
        <v>1910</v>
      </c>
      <c r="B191" s="8"/>
      <c r="C191" s="9"/>
      <c r="D191" s="8">
        <f>+(B120*B187+F145*G187)/B149</f>
        <v>0.8222505981776729</v>
      </c>
      <c r="E191" s="9" t="s">
        <v>699</v>
      </c>
    </row>
    <row r="192" spans="2:6" ht="6" customHeight="1">
      <c r="B192" s="6"/>
      <c r="C192" s="4"/>
      <c r="E192" s="3"/>
      <c r="F192" s="4"/>
    </row>
    <row r="193" spans="1:11" ht="6" customHeight="1">
      <c r="A193" s="89"/>
      <c r="B193" s="90"/>
      <c r="C193" s="88"/>
      <c r="D193" s="89"/>
      <c r="E193" s="90"/>
      <c r="F193" s="88"/>
      <c r="G193" s="87"/>
      <c r="H193" s="87"/>
      <c r="I193" s="87"/>
      <c r="J193" s="87"/>
      <c r="K193" s="87"/>
    </row>
    <row r="194" spans="3:6" ht="6" customHeight="1">
      <c r="C194" s="4"/>
      <c r="F194" s="4"/>
    </row>
    <row r="195" spans="1:5" ht="15.75" customHeight="1">
      <c r="A195" s="85" t="s">
        <v>1464</v>
      </c>
      <c r="E195" s="20"/>
    </row>
    <row r="196" ht="6" customHeight="1"/>
    <row r="197" ht="15.75" customHeight="1">
      <c r="A197" s="5" t="s">
        <v>112</v>
      </c>
    </row>
    <row r="198" ht="6" customHeight="1"/>
    <row r="199" spans="1:9" ht="15.75" customHeight="1">
      <c r="A199" s="2" t="s">
        <v>698</v>
      </c>
      <c r="B199" s="1">
        <v>9806</v>
      </c>
      <c r="C199" s="4" t="s">
        <v>713</v>
      </c>
      <c r="D199" s="1" t="s">
        <v>2294</v>
      </c>
      <c r="E199" s="3">
        <v>2</v>
      </c>
      <c r="F199" s="4" t="s">
        <v>699</v>
      </c>
      <c r="G199" s="1" t="s">
        <v>1465</v>
      </c>
      <c r="H199" s="3">
        <v>-0.1</v>
      </c>
      <c r="I199" s="4" t="s">
        <v>701</v>
      </c>
    </row>
    <row r="200" spans="1:6" ht="15.75" customHeight="1">
      <c r="A200" s="1" t="s">
        <v>711</v>
      </c>
      <c r="B200" s="3">
        <v>1</v>
      </c>
      <c r="C200" s="4" t="s">
        <v>699</v>
      </c>
      <c r="D200" s="1" t="s">
        <v>2295</v>
      </c>
      <c r="E200" s="3">
        <v>1.5</v>
      </c>
      <c r="F200" s="4" t="s">
        <v>699</v>
      </c>
    </row>
    <row r="201" spans="2:6" ht="6" customHeight="1">
      <c r="B201" s="3"/>
      <c r="C201" s="4"/>
      <c r="E201" s="3"/>
      <c r="F201" s="4"/>
    </row>
    <row r="202" spans="1:6" ht="15.75" customHeight="1">
      <c r="A202" s="5" t="s">
        <v>1460</v>
      </c>
      <c r="B202" s="3"/>
      <c r="C202" s="4"/>
      <c r="E202" s="3"/>
      <c r="F202" s="4"/>
    </row>
    <row r="203" spans="3:6" ht="6" customHeight="1">
      <c r="C203" s="4"/>
      <c r="F203" s="4"/>
    </row>
    <row r="204" spans="1:6" ht="15.75" customHeight="1">
      <c r="A204" s="5" t="s">
        <v>113</v>
      </c>
      <c r="C204" s="4"/>
      <c r="F204" s="4"/>
    </row>
    <row r="205" spans="1:6" ht="6.75" customHeight="1">
      <c r="A205" s="5"/>
      <c r="C205" s="4"/>
      <c r="F205" s="4"/>
    </row>
    <row r="206" spans="1:6" ht="15.75" customHeight="1">
      <c r="A206" s="4" t="s">
        <v>2660</v>
      </c>
      <c r="C206" s="4"/>
      <c r="F206" s="4"/>
    </row>
    <row r="207" spans="1:6" ht="15.75" customHeight="1">
      <c r="A207" s="4" t="s">
        <v>2661</v>
      </c>
      <c r="C207" s="4"/>
      <c r="F207" s="4"/>
    </row>
    <row r="208" spans="1:6" ht="15.75" customHeight="1">
      <c r="A208" s="4" t="s">
        <v>2662</v>
      </c>
      <c r="C208" s="4"/>
      <c r="F208" s="4"/>
    </row>
    <row r="209" spans="1:6" ht="15.75" customHeight="1">
      <c r="A209" s="4" t="s">
        <v>2664</v>
      </c>
      <c r="C209" s="4"/>
      <c r="F209" s="4"/>
    </row>
    <row r="210" spans="1:6" ht="15.75" customHeight="1">
      <c r="A210" s="4" t="s">
        <v>2663</v>
      </c>
      <c r="C210" s="4"/>
      <c r="F210" s="4"/>
    </row>
    <row r="211" spans="1:6" ht="15.75" customHeight="1">
      <c r="A211" s="4" t="s">
        <v>1787</v>
      </c>
      <c r="C211" s="4"/>
      <c r="F211" s="4"/>
    </row>
    <row r="212" spans="1:6" ht="15.75" customHeight="1">
      <c r="A212" s="4" t="s">
        <v>2666</v>
      </c>
      <c r="C212" s="4"/>
      <c r="F212" s="4"/>
    </row>
    <row r="213" spans="1:6" ht="15.75" customHeight="1">
      <c r="A213" s="4" t="s">
        <v>2665</v>
      </c>
      <c r="C213" s="4"/>
      <c r="F213" s="4"/>
    </row>
    <row r="214" spans="1:6" ht="15.75" customHeight="1">
      <c r="A214" s="4" t="s">
        <v>1788</v>
      </c>
      <c r="C214" s="4"/>
      <c r="F214" s="4"/>
    </row>
    <row r="215" spans="3:6" ht="6" customHeight="1">
      <c r="C215" s="4"/>
      <c r="F215" s="4"/>
    </row>
    <row r="216" spans="1:6" ht="15.75" customHeight="1">
      <c r="A216" s="4" t="s">
        <v>2634</v>
      </c>
      <c r="C216" s="4"/>
      <c r="F216" s="4"/>
    </row>
    <row r="217" spans="1:6" ht="6" customHeight="1">
      <c r="A217" s="5"/>
      <c r="C217" s="4"/>
      <c r="F217" s="4"/>
    </row>
    <row r="218" spans="1:7" ht="15.75" customHeight="1">
      <c r="A218" s="1" t="s">
        <v>2667</v>
      </c>
      <c r="B218" s="1">
        <f>+H199*10^5</f>
        <v>-10000</v>
      </c>
      <c r="C218" s="4" t="s">
        <v>700</v>
      </c>
      <c r="D218" s="4" t="s">
        <v>1790</v>
      </c>
      <c r="F218" s="3">
        <f>+B200*(E199-E200)</f>
        <v>0.5</v>
      </c>
      <c r="G218" s="4" t="s">
        <v>108</v>
      </c>
    </row>
    <row r="219" spans="1:6" ht="6" customHeight="1">
      <c r="A219" s="5"/>
      <c r="C219" s="4"/>
      <c r="F219" s="4"/>
    </row>
    <row r="220" spans="1:6" ht="15.75" customHeight="1">
      <c r="A220" s="1" t="s">
        <v>2636</v>
      </c>
      <c r="B220" s="1">
        <f>+B218*F218</f>
        <v>-5000</v>
      </c>
      <c r="C220" s="4" t="s">
        <v>704</v>
      </c>
      <c r="E220" s="4" t="s">
        <v>2637</v>
      </c>
      <c r="F220" s="4"/>
    </row>
    <row r="221" spans="1:6" ht="15.75" customHeight="1">
      <c r="A221" s="5"/>
      <c r="C221" s="4"/>
      <c r="E221" s="4" t="s">
        <v>1897</v>
      </c>
      <c r="F221" s="4"/>
    </row>
    <row r="222" spans="1:6" ht="6" customHeight="1">
      <c r="A222" s="5"/>
      <c r="C222" s="4"/>
      <c r="F222" s="4"/>
    </row>
    <row r="223" spans="1:6" ht="15.75" customHeight="1">
      <c r="A223" s="4" t="s">
        <v>2638</v>
      </c>
      <c r="C223" s="4"/>
      <c r="F223" s="4"/>
    </row>
    <row r="224" spans="1:6" ht="15.75" customHeight="1">
      <c r="A224" s="4" t="s">
        <v>2668</v>
      </c>
      <c r="C224" s="4"/>
      <c r="F224" s="4"/>
    </row>
    <row r="225" spans="3:6" ht="6.75" customHeight="1">
      <c r="C225" s="4"/>
      <c r="F225" s="4"/>
    </row>
    <row r="226" spans="1:4" ht="15.75" customHeight="1">
      <c r="A226" s="1" t="s">
        <v>2640</v>
      </c>
      <c r="B226" s="3">
        <f>+B218/B199</f>
        <v>-1.0197838058331634</v>
      </c>
      <c r="C226" s="4" t="s">
        <v>699</v>
      </c>
      <c r="D226" s="4" t="s">
        <v>1791</v>
      </c>
    </row>
    <row r="227" spans="2:3" ht="6.75" customHeight="1">
      <c r="B227" s="3"/>
      <c r="C227" s="4"/>
    </row>
    <row r="228" spans="1:3" ht="15.75" customHeight="1">
      <c r="A228" s="4" t="s">
        <v>2669</v>
      </c>
      <c r="B228" s="3"/>
      <c r="C228" s="4"/>
    </row>
    <row r="229" spans="2:3" ht="6" customHeight="1">
      <c r="B229" s="3"/>
      <c r="C229" s="4"/>
    </row>
    <row r="230" spans="2:6" ht="15.75" customHeight="1">
      <c r="B230" s="3"/>
      <c r="C230" s="4"/>
      <c r="D230" s="337" t="s">
        <v>1889</v>
      </c>
      <c r="E230" s="92" t="s">
        <v>648</v>
      </c>
      <c r="F230" s="4"/>
    </row>
    <row r="231" spans="2:6" ht="15.75" customHeight="1">
      <c r="B231" s="3"/>
      <c r="C231" s="4"/>
      <c r="D231" s="337"/>
      <c r="E231" s="92" t="s">
        <v>650</v>
      </c>
      <c r="F231" s="4"/>
    </row>
    <row r="232" spans="2:6" ht="6" customHeight="1">
      <c r="B232" s="3"/>
      <c r="C232" s="4"/>
      <c r="E232" s="3"/>
      <c r="F232" s="4"/>
    </row>
    <row r="233" spans="2:8" ht="15.75" customHeight="1">
      <c r="B233" s="3"/>
      <c r="C233" s="4"/>
      <c r="E233" s="4" t="s">
        <v>649</v>
      </c>
      <c r="G233" s="3">
        <f>+(E200+B226)/2</f>
        <v>0.2401080970834183</v>
      </c>
      <c r="H233" s="4" t="s">
        <v>699</v>
      </c>
    </row>
    <row r="234" spans="2:6" ht="6" customHeight="1">
      <c r="B234" s="3"/>
      <c r="C234" s="4"/>
      <c r="E234" s="3"/>
      <c r="F234" s="4"/>
    </row>
    <row r="235" spans="2:6" ht="15.75" customHeight="1">
      <c r="B235" s="3"/>
      <c r="C235" s="4"/>
      <c r="D235" s="337" t="s">
        <v>1889</v>
      </c>
      <c r="E235" s="92" t="s">
        <v>651</v>
      </c>
      <c r="F235" s="4"/>
    </row>
    <row r="236" spans="2:6" ht="6" customHeight="1">
      <c r="B236" s="3"/>
      <c r="C236" s="4"/>
      <c r="E236" s="3"/>
      <c r="F236" s="4"/>
    </row>
    <row r="237" spans="2:7" ht="15.75" customHeight="1">
      <c r="B237" s="3"/>
      <c r="C237" s="4"/>
      <c r="E237" s="1" t="s">
        <v>125</v>
      </c>
      <c r="F237" s="6">
        <f>+B199*G233</f>
        <v>2354.5</v>
      </c>
      <c r="G237" s="4" t="s">
        <v>700</v>
      </c>
    </row>
    <row r="238" spans="2:7" ht="6" customHeight="1">
      <c r="B238" s="3"/>
      <c r="C238" s="4"/>
      <c r="F238" s="6"/>
      <c r="G238" s="4"/>
    </row>
    <row r="239" spans="2:7" ht="15.75" customHeight="1">
      <c r="B239" s="3"/>
      <c r="C239" s="4"/>
      <c r="D239" s="337" t="s">
        <v>1889</v>
      </c>
      <c r="E239" s="4" t="s">
        <v>1792</v>
      </c>
      <c r="F239" s="6"/>
      <c r="G239" s="4"/>
    </row>
    <row r="240" spans="2:7" ht="6.75" customHeight="1">
      <c r="B240" s="3"/>
      <c r="C240" s="4"/>
      <c r="F240" s="6"/>
      <c r="G240" s="4"/>
    </row>
    <row r="241" spans="2:7" ht="15.75" customHeight="1">
      <c r="B241" s="3"/>
      <c r="C241" s="4"/>
      <c r="E241" s="1" t="s">
        <v>1793</v>
      </c>
      <c r="F241" s="3">
        <f>+(E200+B226)*B200</f>
        <v>0.4802161941668366</v>
      </c>
      <c r="G241" s="4" t="s">
        <v>108</v>
      </c>
    </row>
    <row r="242" spans="2:7" ht="6.75" customHeight="1">
      <c r="B242" s="3"/>
      <c r="C242" s="4"/>
      <c r="F242" s="6"/>
      <c r="G242" s="4"/>
    </row>
    <row r="243" spans="2:7" ht="15.75" customHeight="1">
      <c r="B243" s="3"/>
      <c r="C243" s="4"/>
      <c r="D243" s="337" t="s">
        <v>1889</v>
      </c>
      <c r="E243" s="4" t="s">
        <v>1402</v>
      </c>
      <c r="F243" s="6"/>
      <c r="G243" s="4"/>
    </row>
    <row r="244" spans="2:7" ht="6.75" customHeight="1">
      <c r="B244" s="3"/>
      <c r="C244" s="4"/>
      <c r="F244" s="6"/>
      <c r="G244" s="4"/>
    </row>
    <row r="245" spans="2:7" ht="15.75" customHeight="1">
      <c r="B245" s="3"/>
      <c r="C245" s="4"/>
      <c r="E245" s="1" t="s">
        <v>140</v>
      </c>
      <c r="F245" s="13">
        <f>+F237*F241</f>
        <v>1130.6690291658167</v>
      </c>
      <c r="G245" s="4" t="s">
        <v>704</v>
      </c>
    </row>
    <row r="246" spans="2:3" ht="6.75" customHeight="1">
      <c r="B246" s="3"/>
      <c r="C246" s="4"/>
    </row>
    <row r="247" spans="4:6" ht="15.75" customHeight="1">
      <c r="D247" s="337" t="s">
        <v>1889</v>
      </c>
      <c r="E247" s="92" t="s">
        <v>652</v>
      </c>
      <c r="F247" s="4"/>
    </row>
    <row r="248" spans="4:6" ht="15.75" customHeight="1">
      <c r="D248" s="337"/>
      <c r="E248" s="92" t="s">
        <v>1794</v>
      </c>
      <c r="F248" s="4"/>
    </row>
    <row r="249" spans="5:6" ht="6.75" customHeight="1">
      <c r="E249" s="3"/>
      <c r="F249" s="4"/>
    </row>
    <row r="250" spans="5:7" ht="15.75" customHeight="1">
      <c r="E250" s="1" t="s">
        <v>653</v>
      </c>
      <c r="F250" s="3">
        <f>+B226/2</f>
        <v>-0.5098919029165817</v>
      </c>
      <c r="G250" s="4" t="s">
        <v>699</v>
      </c>
    </row>
    <row r="251" spans="5:6" ht="6.75" customHeight="1">
      <c r="E251" s="3"/>
      <c r="F251" s="4"/>
    </row>
    <row r="252" spans="4:6" ht="15.75" customHeight="1">
      <c r="D252" s="337" t="s">
        <v>1889</v>
      </c>
      <c r="E252" s="92" t="s">
        <v>654</v>
      </c>
      <c r="F252" s="4"/>
    </row>
    <row r="253" spans="5:6" ht="6" customHeight="1">
      <c r="E253" s="3"/>
      <c r="F253" s="4"/>
    </row>
    <row r="254" spans="5:7" ht="15.75" customHeight="1">
      <c r="E254" s="1" t="s">
        <v>126</v>
      </c>
      <c r="F254" s="6">
        <f>+B199*F250</f>
        <v>-5000</v>
      </c>
      <c r="G254" s="4" t="s">
        <v>700</v>
      </c>
    </row>
    <row r="255" spans="6:7" ht="6" customHeight="1">
      <c r="F255" s="6"/>
      <c r="G255" s="4"/>
    </row>
    <row r="256" spans="4:7" ht="15.75" customHeight="1">
      <c r="D256" s="337" t="s">
        <v>1889</v>
      </c>
      <c r="E256" s="4" t="s">
        <v>1795</v>
      </c>
      <c r="F256" s="6"/>
      <c r="G256" s="4"/>
    </row>
    <row r="257" spans="6:7" ht="6" customHeight="1">
      <c r="F257" s="6"/>
      <c r="G257" s="4"/>
    </row>
    <row r="258" spans="5:7" ht="15.75" customHeight="1">
      <c r="E258" s="1" t="s">
        <v>655</v>
      </c>
      <c r="F258" s="3">
        <f>+ABS(B226)*B200</f>
        <v>1.0197838058331634</v>
      </c>
      <c r="G258" s="4" t="s">
        <v>108</v>
      </c>
    </row>
    <row r="259" spans="6:7" ht="6" customHeight="1">
      <c r="F259" s="6"/>
      <c r="G259" s="4"/>
    </row>
    <row r="260" spans="4:7" ht="15.75" customHeight="1">
      <c r="D260" s="337" t="s">
        <v>1889</v>
      </c>
      <c r="E260" s="4" t="s">
        <v>1796</v>
      </c>
      <c r="F260" s="6"/>
      <c r="G260" s="4"/>
    </row>
    <row r="261" spans="6:7" ht="6.75" customHeight="1">
      <c r="F261" s="6"/>
      <c r="G261" s="4"/>
    </row>
    <row r="262" spans="5:7" ht="15.75" customHeight="1">
      <c r="E262" s="4" t="s">
        <v>127</v>
      </c>
      <c r="F262" s="13">
        <f>+F254*F258</f>
        <v>-5098.919029165817</v>
      </c>
      <c r="G262" s="4" t="s">
        <v>704</v>
      </c>
    </row>
    <row r="263" spans="2:3" ht="6.75" customHeight="1">
      <c r="B263" s="3"/>
      <c r="C263" s="4"/>
    </row>
    <row r="264" spans="1:3" ht="15.75" customHeight="1">
      <c r="A264" s="4" t="s">
        <v>656</v>
      </c>
      <c r="B264" s="3"/>
      <c r="C264" s="4"/>
    </row>
    <row r="265" spans="1:3" ht="15.75" customHeight="1">
      <c r="A265" s="5" t="s">
        <v>657</v>
      </c>
      <c r="B265" s="3"/>
      <c r="C265" s="4"/>
    </row>
    <row r="266" spans="2:3" ht="6.75" customHeight="1">
      <c r="B266" s="3"/>
      <c r="C266" s="4"/>
    </row>
    <row r="267" spans="1:7" ht="15.75" customHeight="1">
      <c r="A267" s="10" t="s">
        <v>143</v>
      </c>
      <c r="B267" s="11">
        <f>+F245-ABS(F262)-ABS(B220)</f>
        <v>-8968.25</v>
      </c>
      <c r="C267" s="9" t="s">
        <v>704</v>
      </c>
      <c r="E267" s="3"/>
      <c r="F267" s="4"/>
      <c r="G267" s="17"/>
    </row>
    <row r="268" spans="2:3" ht="6.75" customHeight="1">
      <c r="B268" s="3"/>
      <c r="C268" s="4"/>
    </row>
    <row r="269" ht="15.75" customHeight="1">
      <c r="A269" s="4" t="s">
        <v>2651</v>
      </c>
    </row>
    <row r="270" ht="15.75" customHeight="1">
      <c r="A270" s="4" t="s">
        <v>362</v>
      </c>
    </row>
    <row r="271" ht="15.75" customHeight="1">
      <c r="A271" s="4" t="s">
        <v>658</v>
      </c>
    </row>
    <row r="272" ht="15.75" customHeight="1">
      <c r="A272" s="4" t="s">
        <v>120</v>
      </c>
    </row>
    <row r="273" ht="6.75" customHeight="1"/>
    <row r="274" ht="15.75" customHeight="1">
      <c r="D274" s="17" t="s">
        <v>121</v>
      </c>
    </row>
    <row r="275" ht="6.75" customHeight="1"/>
    <row r="276" ht="15.75" customHeight="1">
      <c r="A276" s="4" t="s">
        <v>363</v>
      </c>
    </row>
    <row r="277" ht="15.75" customHeight="1">
      <c r="A277" s="4" t="s">
        <v>2356</v>
      </c>
    </row>
    <row r="278" ht="15.75" customHeight="1">
      <c r="A278" s="4" t="s">
        <v>534</v>
      </c>
    </row>
    <row r="279" ht="6" customHeight="1">
      <c r="A279" s="4"/>
    </row>
    <row r="280" spans="1:7" ht="15.75" customHeight="1">
      <c r="A280" s="4"/>
      <c r="D280" s="337" t="s">
        <v>1889</v>
      </c>
      <c r="E280" s="4" t="s">
        <v>535</v>
      </c>
      <c r="F280" s="6"/>
      <c r="G280" s="4"/>
    </row>
    <row r="281" spans="1:7" ht="15.75" customHeight="1">
      <c r="A281" s="4"/>
      <c r="E281" s="4" t="s">
        <v>129</v>
      </c>
      <c r="F281" s="6"/>
      <c r="G281" s="4"/>
    </row>
    <row r="282" spans="1:7" ht="15.75" customHeight="1">
      <c r="A282" s="4"/>
      <c r="E282" s="4" t="s">
        <v>130</v>
      </c>
      <c r="F282" s="6"/>
      <c r="G282" s="4"/>
    </row>
    <row r="283" spans="1:7" ht="6" customHeight="1">
      <c r="A283" s="4"/>
      <c r="F283" s="6"/>
      <c r="G283" s="4"/>
    </row>
    <row r="284" spans="1:8" ht="15.75" customHeight="1">
      <c r="A284" s="4"/>
      <c r="E284" s="1" t="s">
        <v>142</v>
      </c>
      <c r="F284" s="3">
        <f>+G233</f>
        <v>0.2401080970834183</v>
      </c>
      <c r="G284" s="4" t="s">
        <v>699</v>
      </c>
      <c r="H284" s="4"/>
    </row>
    <row r="285" spans="1:7" ht="6" customHeight="1">
      <c r="A285" s="4"/>
      <c r="F285" s="6"/>
      <c r="G285" s="4"/>
    </row>
    <row r="286" spans="1:6" ht="15.75" customHeight="1">
      <c r="A286" s="4"/>
      <c r="D286" s="337" t="s">
        <v>1889</v>
      </c>
      <c r="E286" s="92" t="s">
        <v>1403</v>
      </c>
      <c r="F286" s="4"/>
    </row>
    <row r="287" spans="1:6" ht="6.75" customHeight="1">
      <c r="A287" s="4"/>
      <c r="E287" s="3"/>
      <c r="F287" s="4"/>
    </row>
    <row r="288" spans="1:7" ht="15.75" customHeight="1">
      <c r="A288" s="4"/>
      <c r="E288" s="4" t="s">
        <v>135</v>
      </c>
      <c r="F288" s="3">
        <f>+F284*F241</f>
        <v>0.11530379657004045</v>
      </c>
      <c r="G288" s="4" t="s">
        <v>109</v>
      </c>
    </row>
    <row r="289" spans="1:6" ht="6.75" customHeight="1">
      <c r="A289" s="4"/>
      <c r="E289" s="3"/>
      <c r="F289" s="4"/>
    </row>
    <row r="290" spans="1:6" ht="15.75" customHeight="1">
      <c r="A290" s="4"/>
      <c r="D290" s="337" t="s">
        <v>1889</v>
      </c>
      <c r="E290" s="92" t="s">
        <v>1404</v>
      </c>
      <c r="F290" s="4"/>
    </row>
    <row r="291" spans="1:6" ht="15.75" customHeight="1">
      <c r="A291" s="4"/>
      <c r="E291" s="92" t="s">
        <v>131</v>
      </c>
      <c r="F291" s="4"/>
    </row>
    <row r="292" spans="1:6" ht="6" customHeight="1">
      <c r="A292" s="4"/>
      <c r="E292" s="92"/>
      <c r="F292" s="4"/>
    </row>
    <row r="293" spans="1:8" ht="15.75" customHeight="1">
      <c r="A293" s="4"/>
      <c r="E293" s="4" t="s">
        <v>536</v>
      </c>
      <c r="G293" s="19">
        <f>+(1/12)*B200*(E200-ABS(B226))^3</f>
        <v>0.009228458393641994</v>
      </c>
      <c r="H293" s="4" t="s">
        <v>110</v>
      </c>
    </row>
    <row r="294" spans="1:6" ht="6" customHeight="1">
      <c r="A294" s="4"/>
      <c r="F294" s="4"/>
    </row>
    <row r="295" spans="1:5" ht="15.75" customHeight="1">
      <c r="A295" s="4"/>
      <c r="D295" s="337" t="s">
        <v>1889</v>
      </c>
      <c r="E295" s="1" t="s">
        <v>1405</v>
      </c>
    </row>
    <row r="296" spans="1:9" ht="6" customHeight="1">
      <c r="A296" s="4"/>
      <c r="E296" s="6"/>
      <c r="F296" s="4"/>
      <c r="H296" s="3"/>
      <c r="I296" s="4"/>
    </row>
    <row r="297" spans="1:7" ht="15.75" customHeight="1">
      <c r="A297" s="4"/>
      <c r="E297" s="222" t="s">
        <v>132</v>
      </c>
      <c r="F297" s="3">
        <f>+G293/F288</f>
        <v>0.08003603236113943</v>
      </c>
      <c r="G297" s="4" t="s">
        <v>699</v>
      </c>
    </row>
    <row r="298" spans="1:7" ht="6" customHeight="1">
      <c r="A298" s="4"/>
      <c r="E298" s="2"/>
      <c r="F298" s="3"/>
      <c r="G298" s="4"/>
    </row>
    <row r="299" spans="1:8" ht="15.75" customHeight="1">
      <c r="A299" s="4"/>
      <c r="E299" s="2"/>
      <c r="F299" s="3"/>
      <c r="G299" s="92" t="s">
        <v>1894</v>
      </c>
      <c r="H299" s="4"/>
    </row>
    <row r="300" spans="1:11" ht="6" customHeight="1">
      <c r="A300" s="4"/>
      <c r="E300" s="2"/>
      <c r="F300" s="3"/>
      <c r="G300" s="92"/>
      <c r="H300" s="4"/>
      <c r="K300" s="14"/>
    </row>
    <row r="301" spans="1:11" ht="15.75" customHeight="1">
      <c r="A301" s="4"/>
      <c r="E301" s="2"/>
      <c r="F301" s="3"/>
      <c r="G301" s="100" t="s">
        <v>133</v>
      </c>
      <c r="I301" s="15">
        <f>+F284+F297</f>
        <v>0.3201441294445577</v>
      </c>
      <c r="J301" s="14" t="s">
        <v>699</v>
      </c>
      <c r="K301" s="14"/>
    </row>
    <row r="302" ht="6" customHeight="1"/>
    <row r="303" spans="4:7" ht="15.75" customHeight="1">
      <c r="D303" s="337" t="s">
        <v>1889</v>
      </c>
      <c r="E303" s="4" t="s">
        <v>537</v>
      </c>
      <c r="F303" s="6"/>
      <c r="G303" s="4"/>
    </row>
    <row r="304" spans="5:7" ht="15.75" customHeight="1">
      <c r="E304" s="4" t="s">
        <v>134</v>
      </c>
      <c r="F304" s="6"/>
      <c r="G304" s="4"/>
    </row>
    <row r="305" spans="5:7" ht="15.75" customHeight="1">
      <c r="E305" s="4" t="s">
        <v>130</v>
      </c>
      <c r="F305" s="6"/>
      <c r="G305" s="4"/>
    </row>
    <row r="306" spans="2:7" ht="6" customHeight="1">
      <c r="B306" s="3"/>
      <c r="C306" s="4"/>
      <c r="F306" s="6"/>
      <c r="G306" s="4"/>
    </row>
    <row r="307" spans="2:8" ht="15.75" customHeight="1">
      <c r="B307" s="3"/>
      <c r="C307" s="4"/>
      <c r="E307" s="1" t="s">
        <v>141</v>
      </c>
      <c r="F307" s="3">
        <f>+F250</f>
        <v>-0.5098919029165817</v>
      </c>
      <c r="G307" s="4" t="s">
        <v>699</v>
      </c>
      <c r="H307" s="4"/>
    </row>
    <row r="308" spans="2:7" ht="6" customHeight="1">
      <c r="B308" s="3"/>
      <c r="C308" s="4"/>
      <c r="F308" s="6"/>
      <c r="G308" s="4"/>
    </row>
    <row r="309" spans="2:6" ht="15.75" customHeight="1">
      <c r="B309" s="3"/>
      <c r="C309" s="4"/>
      <c r="D309" s="337" t="s">
        <v>1889</v>
      </c>
      <c r="E309" s="92" t="s">
        <v>538</v>
      </c>
      <c r="F309" s="4"/>
    </row>
    <row r="310" spans="2:6" ht="6.75" customHeight="1">
      <c r="B310" s="3"/>
      <c r="C310" s="4"/>
      <c r="E310" s="3"/>
      <c r="F310" s="4"/>
    </row>
    <row r="311" spans="2:7" ht="15.75" customHeight="1">
      <c r="B311" s="3"/>
      <c r="C311" s="4"/>
      <c r="E311" s="4" t="s">
        <v>136</v>
      </c>
      <c r="F311" s="3">
        <f>F307*F258</f>
        <v>-0.5199795053197855</v>
      </c>
      <c r="G311" s="4" t="s">
        <v>109</v>
      </c>
    </row>
    <row r="312" spans="2:6" ht="6.75" customHeight="1">
      <c r="B312" s="3"/>
      <c r="C312" s="4"/>
      <c r="E312" s="3"/>
      <c r="F312" s="4"/>
    </row>
    <row r="313" spans="2:6" ht="15.75" customHeight="1">
      <c r="B313" s="3"/>
      <c r="C313" s="4"/>
      <c r="D313" s="337" t="s">
        <v>1889</v>
      </c>
      <c r="E313" s="92" t="s">
        <v>1406</v>
      </c>
      <c r="F313" s="4"/>
    </row>
    <row r="314" spans="2:6" ht="15.75" customHeight="1">
      <c r="B314" s="3"/>
      <c r="C314" s="4"/>
      <c r="E314" s="92" t="s">
        <v>131</v>
      </c>
      <c r="F314" s="4"/>
    </row>
    <row r="315" spans="2:6" ht="6" customHeight="1">
      <c r="B315" s="3"/>
      <c r="C315" s="4"/>
      <c r="E315" s="92"/>
      <c r="F315" s="4"/>
    </row>
    <row r="316" spans="2:8" ht="15.75" customHeight="1">
      <c r="B316" s="3"/>
      <c r="C316" s="4"/>
      <c r="E316" s="4" t="s">
        <v>539</v>
      </c>
      <c r="G316" s="3">
        <f>+(1/12)*B200*(ABS(B226))^3</f>
        <v>0.08837777981504276</v>
      </c>
      <c r="H316" s="4" t="s">
        <v>110</v>
      </c>
    </row>
    <row r="317" spans="2:6" ht="6" customHeight="1">
      <c r="B317" s="3"/>
      <c r="C317" s="4"/>
      <c r="F317" s="4"/>
    </row>
    <row r="318" spans="2:5" ht="15.75" customHeight="1">
      <c r="B318" s="3"/>
      <c r="C318" s="4"/>
      <c r="D318" s="337" t="s">
        <v>1889</v>
      </c>
      <c r="E318" s="1" t="s">
        <v>1407</v>
      </c>
    </row>
    <row r="319" spans="2:9" ht="5.25" customHeight="1">
      <c r="B319" s="3"/>
      <c r="C319" s="4"/>
      <c r="E319" s="6"/>
      <c r="F319" s="4"/>
      <c r="H319" s="3"/>
      <c r="I319" s="4"/>
    </row>
    <row r="320" spans="2:7" ht="15.75" customHeight="1">
      <c r="B320" s="3"/>
      <c r="C320" s="4"/>
      <c r="E320" s="222" t="s">
        <v>137</v>
      </c>
      <c r="F320" s="3">
        <f>G316/F311</f>
        <v>-0.16996396763886057</v>
      </c>
      <c r="G320" s="4" t="s">
        <v>699</v>
      </c>
    </row>
    <row r="321" spans="2:9" ht="6" customHeight="1">
      <c r="B321" s="3"/>
      <c r="C321" s="4"/>
      <c r="E321" s="222"/>
      <c r="F321" s="3"/>
      <c r="G321" s="4"/>
      <c r="H321" s="92"/>
      <c r="I321" s="4"/>
    </row>
    <row r="322" spans="2:9" ht="15.75" customHeight="1">
      <c r="B322" s="3"/>
      <c r="C322" s="4"/>
      <c r="E322" s="222"/>
      <c r="F322" s="3"/>
      <c r="G322" s="92" t="s">
        <v>1894</v>
      </c>
      <c r="H322" s="4"/>
      <c r="I322" s="4"/>
    </row>
    <row r="323" spans="2:9" ht="6" customHeight="1">
      <c r="B323" s="3"/>
      <c r="C323" s="4"/>
      <c r="E323" s="222"/>
      <c r="F323" s="3"/>
      <c r="G323" s="92"/>
      <c r="H323" s="4"/>
      <c r="I323" s="4"/>
    </row>
    <row r="324" spans="2:10" ht="15.75" customHeight="1">
      <c r="B324" s="3"/>
      <c r="C324" s="4"/>
      <c r="E324" s="222"/>
      <c r="F324" s="3"/>
      <c r="G324" s="100" t="s">
        <v>138</v>
      </c>
      <c r="I324" s="15">
        <f>+F307+F320</f>
        <v>-0.6798558705554423</v>
      </c>
      <c r="J324" s="14" t="s">
        <v>699</v>
      </c>
    </row>
    <row r="325" spans="2:9" ht="5.25" customHeight="1">
      <c r="B325" s="3"/>
      <c r="C325" s="4"/>
      <c r="E325" s="2"/>
      <c r="F325" s="3"/>
      <c r="G325" s="4"/>
      <c r="H325" s="92"/>
      <c r="I325" s="4"/>
    </row>
    <row r="326" ht="15.75" customHeight="1">
      <c r="A326" s="4" t="s">
        <v>139</v>
      </c>
    </row>
    <row r="327" ht="6" customHeight="1"/>
    <row r="328" spans="1:9" ht="15.75" customHeight="1">
      <c r="A328" s="1" t="s">
        <v>1700</v>
      </c>
      <c r="B328" s="3">
        <f>+E200+(E199-E200)/2</f>
        <v>1.75</v>
      </c>
      <c r="C328" s="4" t="s">
        <v>699</v>
      </c>
      <c r="E328" s="4" t="s">
        <v>541</v>
      </c>
      <c r="H328" s="3">
        <f>+(E200-ABS(B226))/2-F297</f>
        <v>0.16007206472227886</v>
      </c>
      <c r="I328" s="4" t="s">
        <v>699</v>
      </c>
    </row>
    <row r="329" spans="2:11" ht="6" customHeight="1">
      <c r="B329" s="3"/>
      <c r="C329" s="4"/>
      <c r="D329" s="4"/>
      <c r="F329" s="3"/>
      <c r="G329" s="4"/>
      <c r="H329" s="4"/>
      <c r="J329" s="3"/>
      <c r="K329" s="4"/>
    </row>
    <row r="330" spans="1:11" ht="15.75" customHeight="1">
      <c r="A330" s="4" t="s">
        <v>540</v>
      </c>
      <c r="C330" s="3">
        <f>+E200-ABS(B226)/2+ABS(F320)</f>
        <v>1.1600720647222789</v>
      </c>
      <c r="D330" s="4" t="s">
        <v>699</v>
      </c>
      <c r="F330" s="3"/>
      <c r="G330" s="4"/>
      <c r="H330" s="4"/>
      <c r="J330" s="3"/>
      <c r="K330" s="4"/>
    </row>
    <row r="331" ht="6" customHeight="1"/>
    <row r="332" spans="1:3" ht="15.75" customHeight="1">
      <c r="A332" s="4" t="s">
        <v>1530</v>
      </c>
      <c r="B332" s="3"/>
      <c r="C332" s="4"/>
    </row>
    <row r="333" spans="1:3" ht="6.75" customHeight="1">
      <c r="A333" s="2"/>
      <c r="B333" s="3"/>
      <c r="C333" s="4"/>
    </row>
    <row r="334" spans="1:6" ht="15.75" customHeight="1">
      <c r="A334" s="9" t="s">
        <v>542</v>
      </c>
      <c r="B334" s="8"/>
      <c r="C334" s="9"/>
      <c r="D334" s="10"/>
      <c r="E334" s="8">
        <f>+(ABS(B220)*B328+ABS(F262)*C330-F245*H328)/ABS(B267)</f>
        <v>1.6150447411702396</v>
      </c>
      <c r="F334" s="10" t="s">
        <v>699</v>
      </c>
    </row>
    <row r="335" spans="5:6" ht="6" customHeight="1">
      <c r="E335" s="3"/>
      <c r="F335" s="4"/>
    </row>
    <row r="336" spans="1:11" ht="6" customHeight="1">
      <c r="A336" s="89"/>
      <c r="B336" s="90"/>
      <c r="C336" s="88"/>
      <c r="D336" s="89"/>
      <c r="E336" s="90"/>
      <c r="F336" s="88"/>
      <c r="G336" s="87"/>
      <c r="H336" s="87"/>
      <c r="I336" s="87"/>
      <c r="J336" s="87"/>
      <c r="K336" s="87"/>
    </row>
    <row r="337" spans="3:6" ht="6" customHeight="1">
      <c r="C337" s="4"/>
      <c r="F337" s="4"/>
    </row>
    <row r="338" spans="1:6" ht="15.75" customHeight="1">
      <c r="A338" s="85" t="s">
        <v>1461</v>
      </c>
      <c r="C338" s="4"/>
      <c r="D338" s="18"/>
      <c r="F338" s="4"/>
    </row>
    <row r="339" spans="1:6" ht="6" customHeight="1">
      <c r="A339" s="85"/>
      <c r="C339" s="4"/>
      <c r="D339" s="18"/>
      <c r="F339" s="4"/>
    </row>
    <row r="340" spans="1:6" ht="15.75" customHeight="1">
      <c r="A340" s="5" t="s">
        <v>112</v>
      </c>
      <c r="C340" s="4"/>
      <c r="D340" s="18"/>
      <c r="F340" s="4"/>
    </row>
    <row r="341" spans="3:6" ht="6" customHeight="1">
      <c r="C341" s="4"/>
      <c r="F341" s="4"/>
    </row>
    <row r="342" spans="1:9" ht="15.75" customHeight="1">
      <c r="A342" s="2" t="s">
        <v>2281</v>
      </c>
      <c r="B342" s="1">
        <v>8335</v>
      </c>
      <c r="C342" s="4" t="s">
        <v>713</v>
      </c>
      <c r="D342" s="1" t="s">
        <v>2297</v>
      </c>
      <c r="E342" s="3">
        <v>0.5</v>
      </c>
      <c r="F342" s="4" t="s">
        <v>699</v>
      </c>
      <c r="G342" s="2" t="s">
        <v>705</v>
      </c>
      <c r="H342" s="6">
        <v>60</v>
      </c>
      <c r="I342" s="4" t="s">
        <v>706</v>
      </c>
    </row>
    <row r="343" spans="1:10" ht="15.75" customHeight="1">
      <c r="A343" s="2" t="s">
        <v>2282</v>
      </c>
      <c r="B343" s="1">
        <v>9806</v>
      </c>
      <c r="C343" s="4" t="s">
        <v>713</v>
      </c>
      <c r="D343" s="1" t="s">
        <v>2295</v>
      </c>
      <c r="E343" s="3">
        <v>1</v>
      </c>
      <c r="F343" s="4" t="s">
        <v>699</v>
      </c>
      <c r="J343" s="3"/>
    </row>
    <row r="344" spans="3:9" ht="6" customHeight="1">
      <c r="C344" s="4"/>
      <c r="F344" s="4"/>
      <c r="I344" s="4"/>
    </row>
    <row r="345" spans="1:9" ht="15.75" customHeight="1">
      <c r="A345" s="5" t="s">
        <v>2507</v>
      </c>
      <c r="C345" s="4"/>
      <c r="F345" s="4"/>
      <c r="I345" s="4"/>
    </row>
    <row r="346" spans="3:9" ht="6" customHeight="1">
      <c r="C346" s="4"/>
      <c r="F346" s="4"/>
      <c r="I346" s="4"/>
    </row>
    <row r="347" spans="1:9" ht="15.75" customHeight="1">
      <c r="A347" s="5" t="s">
        <v>113</v>
      </c>
      <c r="C347" s="4"/>
      <c r="F347" s="4"/>
      <c r="I347" s="4"/>
    </row>
    <row r="348" spans="3:9" ht="6" customHeight="1">
      <c r="C348" s="4"/>
      <c r="F348" s="4"/>
      <c r="I348" s="4"/>
    </row>
    <row r="349" spans="1:10" ht="15.75" customHeight="1">
      <c r="A349" s="1" t="s">
        <v>2283</v>
      </c>
      <c r="B349" s="6">
        <f>+B342*(E343-E342*COS(H342*PI()/180))</f>
        <v>6251.25</v>
      </c>
      <c r="C349" s="4" t="s">
        <v>700</v>
      </c>
      <c r="D349" s="1" t="s">
        <v>712</v>
      </c>
      <c r="E349" s="3">
        <f>+B349/B343</f>
        <v>0.6374923516214562</v>
      </c>
      <c r="F349" s="4" t="s">
        <v>699</v>
      </c>
      <c r="J349" s="3"/>
    </row>
    <row r="350" spans="2:6" ht="6" customHeight="1">
      <c r="B350" s="6"/>
      <c r="C350" s="4"/>
      <c r="E350" s="3"/>
      <c r="F350" s="4"/>
    </row>
    <row r="351" spans="1:10" ht="15.75" customHeight="1">
      <c r="A351" s="1" t="s">
        <v>105</v>
      </c>
      <c r="B351" s="3">
        <f>+E349+(E342/2)*COS(H342*PI()/180)</f>
        <v>0.7624923516214562</v>
      </c>
      <c r="C351" s="4" t="s">
        <v>699</v>
      </c>
      <c r="D351" s="1" t="s">
        <v>2302</v>
      </c>
      <c r="E351" s="6">
        <f>+B343*B351</f>
        <v>7477</v>
      </c>
      <c r="F351" s="4" t="s">
        <v>700</v>
      </c>
      <c r="J351" s="3"/>
    </row>
    <row r="352" spans="1:10" ht="15.75" customHeight="1">
      <c r="A352" s="1" t="s">
        <v>2298</v>
      </c>
      <c r="B352" s="3">
        <f>+PI()*E342^2/4</f>
        <v>0.19634954084936207</v>
      </c>
      <c r="C352" s="4" t="s">
        <v>108</v>
      </c>
      <c r="D352" s="10" t="s">
        <v>2299</v>
      </c>
      <c r="E352" s="11">
        <f>+E351*B352</f>
        <v>1468.10551693068</v>
      </c>
      <c r="F352" s="9" t="s">
        <v>699</v>
      </c>
      <c r="H352" s="6"/>
      <c r="J352" s="3"/>
    </row>
    <row r="353" spans="2:9" ht="6" customHeight="1">
      <c r="B353" s="3"/>
      <c r="C353" s="4"/>
      <c r="E353" s="6"/>
      <c r="F353" s="4"/>
      <c r="H353" s="6"/>
      <c r="I353" s="4"/>
    </row>
    <row r="354" spans="1:10" ht="15.75" customHeight="1">
      <c r="A354" s="1" t="s">
        <v>102</v>
      </c>
      <c r="B354" s="3">
        <f>+B351/COS(H342*PI()/180)</f>
        <v>1.524984703242912</v>
      </c>
      <c r="C354" s="4" t="s">
        <v>699</v>
      </c>
      <c r="D354" s="1" t="s">
        <v>2300</v>
      </c>
      <c r="E354" s="3">
        <f>+B354*B352</f>
        <v>0.29943004628404646</v>
      </c>
      <c r="F354" s="4" t="s">
        <v>109</v>
      </c>
      <c r="G354" s="1" t="s">
        <v>104</v>
      </c>
      <c r="H354" s="3">
        <f>+(1/64)*PI()*E342^4</f>
        <v>0.0030679615757712823</v>
      </c>
      <c r="I354" s="4" t="s">
        <v>110</v>
      </c>
      <c r="J354" s="2"/>
    </row>
    <row r="355" spans="1:7" ht="15.75" customHeight="1">
      <c r="A355" s="2" t="s">
        <v>103</v>
      </c>
      <c r="B355" s="3">
        <f>+H354/E354</f>
        <v>0.010246004413534843</v>
      </c>
      <c r="C355" s="4" t="s">
        <v>699</v>
      </c>
      <c r="D355" s="7" t="s">
        <v>2301</v>
      </c>
      <c r="E355" s="8">
        <f>+B354+B355</f>
        <v>1.5352307076564469</v>
      </c>
      <c r="F355" s="9" t="s">
        <v>699</v>
      </c>
      <c r="G355" s="3"/>
    </row>
    <row r="356" spans="2:9" ht="6" customHeight="1">
      <c r="B356" s="3"/>
      <c r="C356" s="4"/>
      <c r="E356" s="6"/>
      <c r="F356" s="4"/>
      <c r="H356" s="6"/>
      <c r="I356" s="4"/>
    </row>
    <row r="357" spans="1:11" ht="6" customHeight="1">
      <c r="A357" s="87"/>
      <c r="B357" s="90"/>
      <c r="C357" s="88"/>
      <c r="D357" s="87"/>
      <c r="E357" s="91"/>
      <c r="F357" s="88"/>
      <c r="G357" s="87"/>
      <c r="H357" s="91"/>
      <c r="I357" s="88"/>
      <c r="J357" s="87"/>
      <c r="K357" s="87"/>
    </row>
    <row r="358" spans="2:9" ht="6" customHeight="1">
      <c r="B358" s="3"/>
      <c r="C358" s="4"/>
      <c r="E358" s="6"/>
      <c r="F358" s="4"/>
      <c r="H358" s="6"/>
      <c r="I358" s="4"/>
    </row>
    <row r="359" spans="1:6" ht="15.75" customHeight="1">
      <c r="A359" s="85" t="s">
        <v>2508</v>
      </c>
      <c r="C359" s="4"/>
      <c r="D359" s="18"/>
      <c r="F359" s="4"/>
    </row>
    <row r="360" spans="3:6" ht="6" customHeight="1">
      <c r="C360" s="4"/>
      <c r="F360" s="4"/>
    </row>
    <row r="361" spans="1:6" ht="15.75" customHeight="1">
      <c r="A361" s="5" t="s">
        <v>112</v>
      </c>
      <c r="C361" s="4"/>
      <c r="F361" s="4"/>
    </row>
    <row r="362" spans="3:6" ht="6" customHeight="1">
      <c r="C362" s="4"/>
      <c r="F362" s="4"/>
    </row>
    <row r="363" spans="1:9" ht="15.75" customHeight="1">
      <c r="A363" s="2" t="s">
        <v>698</v>
      </c>
      <c r="B363" s="1">
        <v>5000</v>
      </c>
      <c r="C363" s="4" t="s">
        <v>713</v>
      </c>
      <c r="D363" s="1" t="s">
        <v>2295</v>
      </c>
      <c r="E363" s="3">
        <v>4</v>
      </c>
      <c r="F363" s="4" t="s">
        <v>699</v>
      </c>
      <c r="G363" s="2" t="s">
        <v>708</v>
      </c>
      <c r="H363" s="6">
        <v>60</v>
      </c>
      <c r="I363" s="4" t="s">
        <v>706</v>
      </c>
    </row>
    <row r="364" spans="1:6" ht="15.75" customHeight="1">
      <c r="A364" s="1" t="s">
        <v>711</v>
      </c>
      <c r="B364" s="3">
        <v>6</v>
      </c>
      <c r="C364" s="4" t="s">
        <v>699</v>
      </c>
      <c r="D364" s="1" t="s">
        <v>714</v>
      </c>
      <c r="E364" s="3">
        <v>2.5</v>
      </c>
      <c r="F364" s="4" t="s">
        <v>699</v>
      </c>
    </row>
    <row r="365" spans="2:6" ht="6" customHeight="1">
      <c r="B365" s="3"/>
      <c r="C365" s="4"/>
      <c r="E365" s="3"/>
      <c r="F365" s="4"/>
    </row>
    <row r="366" spans="1:6" ht="15.75" customHeight="1">
      <c r="A366" s="5" t="s">
        <v>2510</v>
      </c>
      <c r="B366" s="3"/>
      <c r="C366" s="4"/>
      <c r="E366" s="3"/>
      <c r="F366" s="4"/>
    </row>
    <row r="367" spans="1:6" ht="6" customHeight="1">
      <c r="A367" s="5"/>
      <c r="B367" s="3"/>
      <c r="C367" s="4"/>
      <c r="E367" s="3"/>
      <c r="F367" s="4"/>
    </row>
    <row r="368" spans="1:6" ht="15.75" customHeight="1">
      <c r="A368" s="5" t="s">
        <v>113</v>
      </c>
      <c r="B368" s="3"/>
      <c r="C368" s="4"/>
      <c r="E368" s="3"/>
      <c r="F368" s="4"/>
    </row>
    <row r="369" spans="1:6" ht="6" customHeight="1">
      <c r="A369" s="5"/>
      <c r="B369" s="3"/>
      <c r="C369" s="4"/>
      <c r="E369" s="3"/>
      <c r="F369" s="4"/>
    </row>
    <row r="370" spans="1:6" ht="15.75" customHeight="1">
      <c r="A370" s="4" t="s">
        <v>543</v>
      </c>
      <c r="B370" s="3"/>
      <c r="C370" s="4"/>
      <c r="E370" s="3"/>
      <c r="F370" s="4"/>
    </row>
    <row r="371" spans="1:6" ht="15.75" customHeight="1">
      <c r="A371" s="4" t="s">
        <v>544</v>
      </c>
      <c r="B371" s="3"/>
      <c r="C371" s="4"/>
      <c r="E371" s="3"/>
      <c r="F371" s="4"/>
    </row>
    <row r="372" spans="1:6" ht="15.75" customHeight="1">
      <c r="A372" s="4" t="s">
        <v>545</v>
      </c>
      <c r="B372" s="3"/>
      <c r="C372" s="4"/>
      <c r="E372" s="3"/>
      <c r="F372" s="4"/>
    </row>
    <row r="373" spans="1:6" ht="15.75" customHeight="1">
      <c r="A373" s="4" t="s">
        <v>546</v>
      </c>
      <c r="B373" s="3"/>
      <c r="C373" s="4"/>
      <c r="E373" s="3"/>
      <c r="F373" s="4"/>
    </row>
    <row r="374" spans="2:6" ht="6.75" customHeight="1">
      <c r="B374" s="3"/>
      <c r="C374" s="4"/>
      <c r="E374" s="3"/>
      <c r="F374" s="4"/>
    </row>
    <row r="375" spans="1:6" ht="14.25" customHeight="1">
      <c r="A375" s="335" t="s">
        <v>1885</v>
      </c>
      <c r="B375" s="92" t="s">
        <v>547</v>
      </c>
      <c r="C375" s="4"/>
      <c r="E375" s="3"/>
      <c r="F375" s="4"/>
    </row>
    <row r="376" spans="1:6" ht="6.75" customHeight="1">
      <c r="A376" s="4"/>
      <c r="B376" s="3"/>
      <c r="C376" s="4"/>
      <c r="E376" s="3"/>
      <c r="F376" s="4"/>
    </row>
    <row r="377" spans="1:6" ht="15.75" customHeight="1">
      <c r="A377" s="1" t="s">
        <v>1886</v>
      </c>
      <c r="B377" s="336" t="s">
        <v>1036</v>
      </c>
      <c r="C377" s="4"/>
      <c r="D377" s="1" t="s">
        <v>1887</v>
      </c>
      <c r="E377" s="3"/>
      <c r="F377" s="4"/>
    </row>
    <row r="378" spans="2:6" ht="6.75" customHeight="1">
      <c r="B378" s="3"/>
      <c r="C378" s="4"/>
      <c r="E378" s="3"/>
      <c r="F378" s="4"/>
    </row>
    <row r="379" spans="1:6" ht="15.75" customHeight="1">
      <c r="A379" s="4" t="s">
        <v>549</v>
      </c>
      <c r="B379" s="3"/>
      <c r="C379" s="4"/>
      <c r="E379" s="3"/>
      <c r="F379" s="4"/>
    </row>
    <row r="380" spans="1:6" ht="15.75" customHeight="1">
      <c r="A380" s="4" t="s">
        <v>548</v>
      </c>
      <c r="B380" s="3"/>
      <c r="C380" s="4"/>
      <c r="E380" s="3"/>
      <c r="F380" s="4"/>
    </row>
    <row r="381" spans="2:6" ht="6.75" customHeight="1">
      <c r="B381" s="3"/>
      <c r="C381" s="4"/>
      <c r="E381" s="3"/>
      <c r="F381" s="4"/>
    </row>
    <row r="382" spans="1:6" ht="15.75" customHeight="1">
      <c r="A382" s="4" t="s">
        <v>1888</v>
      </c>
      <c r="B382" s="3"/>
      <c r="C382" s="4"/>
      <c r="E382" s="3"/>
      <c r="F382" s="4"/>
    </row>
    <row r="383" spans="1:6" ht="6.75" customHeight="1">
      <c r="A383" s="4"/>
      <c r="B383" s="3"/>
      <c r="C383" s="4"/>
      <c r="E383" s="3"/>
      <c r="F383" s="4"/>
    </row>
    <row r="384" spans="1:6" ht="15.75" customHeight="1">
      <c r="A384" s="4"/>
      <c r="B384" s="3"/>
      <c r="C384" s="4"/>
      <c r="D384" s="337" t="s">
        <v>1889</v>
      </c>
      <c r="E384" s="92" t="s">
        <v>550</v>
      </c>
      <c r="F384" s="4"/>
    </row>
    <row r="385" spans="1:6" ht="6.75" customHeight="1">
      <c r="A385" s="4"/>
      <c r="B385" s="3"/>
      <c r="C385" s="4"/>
      <c r="E385" s="3"/>
      <c r="F385" s="4"/>
    </row>
    <row r="386" spans="1:8" ht="15.75" customHeight="1">
      <c r="A386" s="4"/>
      <c r="B386" s="3"/>
      <c r="C386" s="4"/>
      <c r="E386" s="4" t="s">
        <v>1890</v>
      </c>
      <c r="G386" s="3">
        <f>+E363+E364/2*SIN(RADIANS(H363))</f>
        <v>5.082531754730548</v>
      </c>
      <c r="H386" s="4" t="s">
        <v>699</v>
      </c>
    </row>
    <row r="387" spans="1:6" ht="6.75" customHeight="1">
      <c r="A387" s="4"/>
      <c r="B387" s="3"/>
      <c r="C387" s="4"/>
      <c r="E387" s="3"/>
      <c r="F387" s="4"/>
    </row>
    <row r="388" spans="1:6" ht="15.75" customHeight="1">
      <c r="A388" s="4"/>
      <c r="B388" s="3"/>
      <c r="C388" s="4"/>
      <c r="D388" s="337" t="s">
        <v>1889</v>
      </c>
      <c r="E388" s="92" t="s">
        <v>551</v>
      </c>
      <c r="F388" s="4"/>
    </row>
    <row r="389" spans="1:6" ht="6.75" customHeight="1">
      <c r="A389" s="4"/>
      <c r="B389" s="3"/>
      <c r="C389" s="4"/>
      <c r="E389" s="3"/>
      <c r="F389" s="4"/>
    </row>
    <row r="390" spans="1:7" ht="15.75" customHeight="1">
      <c r="A390" s="4"/>
      <c r="B390" s="3"/>
      <c r="C390" s="4"/>
      <c r="E390" s="1" t="s">
        <v>2080</v>
      </c>
      <c r="F390" s="6">
        <f>+G386*B363</f>
        <v>25412.65877365274</v>
      </c>
      <c r="G390" s="4" t="s">
        <v>700</v>
      </c>
    </row>
    <row r="391" spans="1:7" ht="6.75" customHeight="1">
      <c r="A391" s="4"/>
      <c r="B391" s="3"/>
      <c r="C391" s="4"/>
      <c r="F391" s="6"/>
      <c r="G391" s="4"/>
    </row>
    <row r="392" spans="1:7" ht="15.75" customHeight="1">
      <c r="A392" s="4"/>
      <c r="B392" s="3"/>
      <c r="C392" s="4"/>
      <c r="D392" s="337" t="s">
        <v>1889</v>
      </c>
      <c r="E392" s="4" t="s">
        <v>552</v>
      </c>
      <c r="F392" s="6"/>
      <c r="G392" s="4"/>
    </row>
    <row r="393" spans="1:7" ht="6.75" customHeight="1">
      <c r="A393" s="4"/>
      <c r="B393" s="3"/>
      <c r="C393" s="4"/>
      <c r="F393" s="6"/>
      <c r="G393" s="4"/>
    </row>
    <row r="394" spans="1:7" ht="15.75" customHeight="1">
      <c r="A394" s="4"/>
      <c r="B394" s="3"/>
      <c r="C394" s="4"/>
      <c r="E394" s="1" t="s">
        <v>2082</v>
      </c>
      <c r="F394" s="3">
        <f>+B364*E364</f>
        <v>15</v>
      </c>
      <c r="G394" s="4" t="s">
        <v>108</v>
      </c>
    </row>
    <row r="395" spans="1:7" ht="6.75" customHeight="1">
      <c r="A395" s="4"/>
      <c r="B395" s="3"/>
      <c r="C395" s="4"/>
      <c r="F395" s="6"/>
      <c r="G395" s="4"/>
    </row>
    <row r="396" spans="1:7" ht="15.75" customHeight="1">
      <c r="A396" s="4"/>
      <c r="B396" s="3"/>
      <c r="C396" s="4"/>
      <c r="D396" s="337" t="s">
        <v>1889</v>
      </c>
      <c r="E396" s="4" t="s">
        <v>1408</v>
      </c>
      <c r="F396" s="6"/>
      <c r="G396" s="4"/>
    </row>
    <row r="397" spans="1:7" ht="6.75" customHeight="1">
      <c r="A397" s="4"/>
      <c r="B397" s="3"/>
      <c r="C397" s="4"/>
      <c r="F397" s="6"/>
      <c r="G397" s="4"/>
    </row>
    <row r="398" spans="1:7" ht="15.75" customHeight="1">
      <c r="A398" s="4"/>
      <c r="B398" s="3"/>
      <c r="C398" s="4"/>
      <c r="E398" s="1" t="s">
        <v>1308</v>
      </c>
      <c r="F398" s="6">
        <f>+F390*F394</f>
        <v>381189.8816047911</v>
      </c>
      <c r="G398" s="22" t="s">
        <v>704</v>
      </c>
    </row>
    <row r="399" spans="1:7" ht="6.75" customHeight="1">
      <c r="A399" s="4"/>
      <c r="B399" s="3"/>
      <c r="C399" s="4"/>
      <c r="F399" s="6"/>
      <c r="G399" s="4"/>
    </row>
    <row r="400" spans="1:7" ht="15.75" customHeight="1">
      <c r="A400" s="4" t="s">
        <v>553</v>
      </c>
      <c r="B400" s="3"/>
      <c r="C400" s="4"/>
      <c r="F400" s="6"/>
      <c r="G400" s="4"/>
    </row>
    <row r="401" spans="1:7" ht="15.75" customHeight="1">
      <c r="A401" s="4" t="s">
        <v>554</v>
      </c>
      <c r="B401" s="3"/>
      <c r="C401" s="4"/>
      <c r="F401" s="6"/>
      <c r="G401" s="4"/>
    </row>
    <row r="402" spans="1:7" ht="6" customHeight="1">
      <c r="A402" s="4"/>
      <c r="B402" s="3"/>
      <c r="C402" s="4"/>
      <c r="F402" s="6"/>
      <c r="G402" s="4"/>
    </row>
    <row r="403" spans="1:7" ht="15.75" customHeight="1">
      <c r="A403" s="4"/>
      <c r="B403" s="3"/>
      <c r="C403" s="4"/>
      <c r="D403" s="337" t="s">
        <v>1889</v>
      </c>
      <c r="E403" s="4" t="s">
        <v>555</v>
      </c>
      <c r="F403" s="6"/>
      <c r="G403" s="4"/>
    </row>
    <row r="404" spans="1:7" ht="15.75" customHeight="1">
      <c r="A404" s="4"/>
      <c r="B404" s="3"/>
      <c r="C404" s="4"/>
      <c r="E404" s="4" t="s">
        <v>1891</v>
      </c>
      <c r="F404" s="6"/>
      <c r="G404" s="4"/>
    </row>
    <row r="405" spans="1:7" ht="6" customHeight="1">
      <c r="A405" s="4"/>
      <c r="B405" s="3"/>
      <c r="C405" s="4"/>
      <c r="E405" s="4"/>
      <c r="F405" s="6"/>
      <c r="G405" s="4"/>
    </row>
    <row r="406" spans="1:8" ht="15.75" customHeight="1">
      <c r="A406" s="4"/>
      <c r="B406" s="3"/>
      <c r="C406" s="4"/>
      <c r="E406" s="4" t="s">
        <v>1892</v>
      </c>
      <c r="G406" s="3">
        <f>+G386/SIN(RADIANS(H363))</f>
        <v>5.868802153517006</v>
      </c>
      <c r="H406" s="4" t="s">
        <v>699</v>
      </c>
    </row>
    <row r="407" spans="1:7" ht="6" customHeight="1">
      <c r="A407" s="4"/>
      <c r="B407" s="3"/>
      <c r="C407" s="4"/>
      <c r="F407" s="6"/>
      <c r="G407" s="4"/>
    </row>
    <row r="408" spans="1:6" ht="15.75" customHeight="1">
      <c r="A408" s="5"/>
      <c r="B408" s="3"/>
      <c r="C408" s="4"/>
      <c r="D408" s="337" t="s">
        <v>1889</v>
      </c>
      <c r="E408" s="92" t="s">
        <v>1409</v>
      </c>
      <c r="F408" s="4"/>
    </row>
    <row r="409" spans="1:6" ht="5.25" customHeight="1">
      <c r="A409" s="5"/>
      <c r="B409" s="3"/>
      <c r="C409" s="4"/>
      <c r="E409" s="3"/>
      <c r="F409" s="4"/>
    </row>
    <row r="410" spans="1:7" ht="15.75" customHeight="1">
      <c r="A410" s="5"/>
      <c r="B410" s="3"/>
      <c r="C410" s="4"/>
      <c r="E410" s="1" t="s">
        <v>1309</v>
      </c>
      <c r="F410" s="3">
        <f>+G406*F394</f>
        <v>88.03203230275508</v>
      </c>
      <c r="G410" s="4" t="s">
        <v>109</v>
      </c>
    </row>
    <row r="411" spans="1:6" ht="5.25" customHeight="1">
      <c r="A411" s="5"/>
      <c r="B411" s="3"/>
      <c r="C411" s="4"/>
      <c r="E411" s="3"/>
      <c r="F411" s="4"/>
    </row>
    <row r="412" spans="1:6" ht="15.75" customHeight="1">
      <c r="A412" s="5"/>
      <c r="B412" s="3"/>
      <c r="C412" s="4"/>
      <c r="D412" s="337" t="s">
        <v>1889</v>
      </c>
      <c r="E412" s="92" t="s">
        <v>1410</v>
      </c>
      <c r="F412" s="4"/>
    </row>
    <row r="413" spans="1:6" ht="15.75" customHeight="1">
      <c r="A413" s="5"/>
      <c r="B413" s="3"/>
      <c r="C413" s="4"/>
      <c r="E413" s="92" t="s">
        <v>1893</v>
      </c>
      <c r="F413" s="4"/>
    </row>
    <row r="414" spans="1:6" ht="6" customHeight="1">
      <c r="A414" s="5"/>
      <c r="B414" s="3"/>
      <c r="C414" s="4"/>
      <c r="E414" s="92"/>
      <c r="F414" s="4"/>
    </row>
    <row r="415" spans="1:8" ht="15.75" customHeight="1">
      <c r="A415" s="5"/>
      <c r="B415" s="3"/>
      <c r="C415" s="4"/>
      <c r="E415" s="4" t="s">
        <v>1310</v>
      </c>
      <c r="G415" s="3">
        <f>+(1/12)*B364*E364^3</f>
        <v>7.8125</v>
      </c>
      <c r="H415" s="4" t="s">
        <v>110</v>
      </c>
    </row>
    <row r="416" spans="3:6" ht="6" customHeight="1">
      <c r="C416" s="4"/>
      <c r="F416" s="4"/>
    </row>
    <row r="417" spans="4:5" ht="15.75" customHeight="1">
      <c r="D417" s="337" t="s">
        <v>1889</v>
      </c>
      <c r="E417" s="4" t="s">
        <v>556</v>
      </c>
    </row>
    <row r="418" spans="2:12" ht="6" customHeight="1">
      <c r="B418" s="3"/>
      <c r="C418" s="4"/>
      <c r="E418" s="6"/>
      <c r="F418" s="4"/>
      <c r="H418" s="3"/>
      <c r="I418" s="4"/>
      <c r="K418" s="6"/>
      <c r="L418" s="22"/>
    </row>
    <row r="419" spans="5:12" ht="15.75" customHeight="1">
      <c r="E419" s="2" t="s">
        <v>1311</v>
      </c>
      <c r="F419" s="3">
        <f>+G415/F410</f>
        <v>0.08874610520329311</v>
      </c>
      <c r="G419" s="4" t="s">
        <v>699</v>
      </c>
      <c r="L419" s="22"/>
    </row>
    <row r="420" spans="5:12" ht="6.75" customHeight="1">
      <c r="E420" s="2"/>
      <c r="F420" s="3"/>
      <c r="G420" s="4"/>
      <c r="L420" s="22"/>
    </row>
    <row r="421" spans="5:12" ht="15.75" customHeight="1">
      <c r="E421" s="2"/>
      <c r="F421" s="92" t="s">
        <v>1894</v>
      </c>
      <c r="G421" s="4"/>
      <c r="I421" s="6"/>
      <c r="L421" s="22"/>
    </row>
    <row r="422" spans="5:12" ht="15.75" customHeight="1">
      <c r="E422" s="2"/>
      <c r="F422" s="92"/>
      <c r="G422" s="4"/>
      <c r="I422" s="6"/>
      <c r="J422" s="15"/>
      <c r="K422" s="14"/>
      <c r="L422" s="22"/>
    </row>
    <row r="423" spans="5:12" ht="15.75" customHeight="1">
      <c r="E423" s="2"/>
      <c r="F423" s="100" t="s">
        <v>1895</v>
      </c>
      <c r="H423" s="15">
        <f>+G406+F419</f>
        <v>5.957548258720299</v>
      </c>
      <c r="I423" s="14" t="s">
        <v>699</v>
      </c>
      <c r="J423" s="15"/>
      <c r="K423" s="14"/>
      <c r="L423" s="22"/>
    </row>
    <row r="424" spans="5:12" ht="6.75" customHeight="1">
      <c r="E424" s="2"/>
      <c r="F424" s="3"/>
      <c r="G424" s="4"/>
      <c r="H424" s="92"/>
      <c r="I424" s="4"/>
      <c r="K424" s="6"/>
      <c r="L424" s="22"/>
    </row>
    <row r="425" spans="1:12" ht="15.75" customHeight="1">
      <c r="A425" s="4" t="s">
        <v>1896</v>
      </c>
      <c r="E425" s="2"/>
      <c r="F425" s="3"/>
      <c r="G425" s="4"/>
      <c r="H425" s="92"/>
      <c r="I425" s="4"/>
      <c r="K425" s="6"/>
      <c r="L425" s="22"/>
    </row>
    <row r="426" spans="5:6" ht="6" customHeight="1">
      <c r="E426" s="3"/>
      <c r="F426" s="4"/>
    </row>
    <row r="427" spans="1:4" ht="15.75" customHeight="1">
      <c r="A427" s="4" t="s">
        <v>1312</v>
      </c>
      <c r="C427" s="3">
        <f>+E364/2+F419</f>
        <v>1.3387461052032932</v>
      </c>
      <c r="D427" s="14" t="s">
        <v>699</v>
      </c>
    </row>
    <row r="428" spans="1:4" ht="6" customHeight="1">
      <c r="A428" s="4"/>
      <c r="C428" s="3"/>
      <c r="D428" s="14"/>
    </row>
    <row r="429" ht="15.75" customHeight="1">
      <c r="A429" s="4" t="s">
        <v>557</v>
      </c>
    </row>
    <row r="430" spans="1:12" ht="6" customHeight="1">
      <c r="A430" s="2"/>
      <c r="B430" s="3"/>
      <c r="C430" s="4"/>
      <c r="D430" s="16"/>
      <c r="E430" s="15"/>
      <c r="F430" s="14"/>
      <c r="H430" s="3"/>
      <c r="I430" s="14"/>
      <c r="J430" s="12"/>
      <c r="K430" s="13"/>
      <c r="L430" s="25"/>
    </row>
    <row r="431" spans="1:12" ht="15.75" customHeight="1">
      <c r="A431" s="10" t="s">
        <v>1313</v>
      </c>
      <c r="B431" s="11">
        <f>+F398*C427/E364</f>
        <v>204126.5877365274</v>
      </c>
      <c r="C431" s="23" t="s">
        <v>704</v>
      </c>
      <c r="D431" s="16"/>
      <c r="E431" s="15"/>
      <c r="F431" s="14"/>
      <c r="H431" s="3"/>
      <c r="I431" s="14"/>
      <c r="J431" s="12"/>
      <c r="K431" s="13"/>
      <c r="L431" s="25"/>
    </row>
    <row r="432" spans="3:6" ht="6" customHeight="1">
      <c r="C432" s="4"/>
      <c r="F432" s="4"/>
    </row>
    <row r="433" spans="1:11" ht="6" customHeight="1">
      <c r="A433" s="87"/>
      <c r="B433" s="87"/>
      <c r="C433" s="88"/>
      <c r="D433" s="87"/>
      <c r="E433" s="87"/>
      <c r="F433" s="88"/>
      <c r="G433" s="87"/>
      <c r="H433" s="87"/>
      <c r="I433" s="87"/>
      <c r="J433" s="87"/>
      <c r="K433" s="87"/>
    </row>
    <row r="434" spans="3:6" ht="6" customHeight="1">
      <c r="C434" s="4"/>
      <c r="F434" s="4"/>
    </row>
    <row r="435" spans="1:6" ht="15.75" customHeight="1">
      <c r="A435" s="85" t="s">
        <v>2511</v>
      </c>
      <c r="C435" s="4"/>
      <c r="F435" s="4"/>
    </row>
    <row r="436" spans="3:6" ht="6" customHeight="1">
      <c r="C436" s="4"/>
      <c r="F436" s="4"/>
    </row>
    <row r="437" spans="1:6" ht="15.75" customHeight="1">
      <c r="A437" s="5" t="s">
        <v>112</v>
      </c>
      <c r="C437" s="4"/>
      <c r="F437" s="4"/>
    </row>
    <row r="438" spans="1:9" ht="15.75" customHeight="1">
      <c r="A438" s="2" t="s">
        <v>698</v>
      </c>
      <c r="B438" s="1">
        <f>6.67*10^3</f>
        <v>6670</v>
      </c>
      <c r="C438" s="4" t="s">
        <v>713</v>
      </c>
      <c r="D438" s="1" t="s">
        <v>711</v>
      </c>
      <c r="E438" s="3">
        <v>4</v>
      </c>
      <c r="F438" s="4" t="s">
        <v>699</v>
      </c>
      <c r="G438" s="1" t="s">
        <v>714</v>
      </c>
      <c r="H438" s="3">
        <v>0.05</v>
      </c>
      <c r="I438" s="4" t="s">
        <v>699</v>
      </c>
    </row>
    <row r="439" spans="1:9" ht="15.75" customHeight="1">
      <c r="A439" s="2" t="s">
        <v>2277</v>
      </c>
      <c r="B439" s="1">
        <v>133362</v>
      </c>
      <c r="C439" s="4" t="s">
        <v>713</v>
      </c>
      <c r="D439" s="1" t="s">
        <v>2297</v>
      </c>
      <c r="E439" s="3">
        <v>0.6</v>
      </c>
      <c r="F439" s="4" t="s">
        <v>699</v>
      </c>
      <c r="G439" s="2" t="s">
        <v>705</v>
      </c>
      <c r="H439" s="6">
        <v>30</v>
      </c>
      <c r="I439" s="4" t="s">
        <v>706</v>
      </c>
    </row>
    <row r="440" spans="1:3" ht="15.75" customHeight="1">
      <c r="A440" s="2" t="s">
        <v>702</v>
      </c>
      <c r="B440" s="3">
        <v>0.2</v>
      </c>
      <c r="C440" s="4" t="s">
        <v>699</v>
      </c>
    </row>
    <row r="441" spans="2:6" ht="6" customHeight="1">
      <c r="B441" s="3"/>
      <c r="C441" s="4"/>
      <c r="E441" s="3"/>
      <c r="F441" s="4"/>
    </row>
    <row r="442" spans="1:6" ht="15.75" customHeight="1">
      <c r="A442" s="5" t="s">
        <v>558</v>
      </c>
      <c r="B442" s="3"/>
      <c r="C442" s="4"/>
      <c r="E442" s="3"/>
      <c r="F442" s="4"/>
    </row>
    <row r="443" spans="2:6" ht="6" customHeight="1">
      <c r="B443" s="3"/>
      <c r="C443" s="4"/>
      <c r="E443" s="3"/>
      <c r="F443" s="4"/>
    </row>
    <row r="444" spans="1:6" ht="15.75" customHeight="1">
      <c r="A444" s="5" t="s">
        <v>113</v>
      </c>
      <c r="B444" s="3"/>
      <c r="C444" s="4"/>
      <c r="E444" s="3"/>
      <c r="F444" s="4"/>
    </row>
    <row r="445" spans="1:6" ht="6" customHeight="1">
      <c r="A445" s="5"/>
      <c r="B445" s="3"/>
      <c r="C445" s="4"/>
      <c r="E445" s="3"/>
      <c r="F445" s="4"/>
    </row>
    <row r="446" spans="1:6" ht="15.75" customHeight="1">
      <c r="A446" s="4" t="s">
        <v>2357</v>
      </c>
      <c r="B446" s="3"/>
      <c r="C446" s="4"/>
      <c r="E446" s="3"/>
      <c r="F446" s="4"/>
    </row>
    <row r="447" spans="1:6" ht="15.75" customHeight="1">
      <c r="A447" s="4" t="s">
        <v>559</v>
      </c>
      <c r="B447" s="3"/>
      <c r="C447" s="4"/>
      <c r="E447" s="3"/>
      <c r="F447" s="4"/>
    </row>
    <row r="448" spans="1:6" ht="15.75" customHeight="1">
      <c r="A448" s="4" t="s">
        <v>2358</v>
      </c>
      <c r="B448" s="3"/>
      <c r="C448" s="4"/>
      <c r="E448" s="3"/>
      <c r="F448" s="4"/>
    </row>
    <row r="449" spans="1:6" ht="15.75" customHeight="1">
      <c r="A449" s="4" t="s">
        <v>560</v>
      </c>
      <c r="B449" s="3"/>
      <c r="C449" s="4"/>
      <c r="E449" s="3"/>
      <c r="F449" s="4"/>
    </row>
    <row r="450" spans="1:6" ht="15.75" customHeight="1">
      <c r="A450" s="4" t="s">
        <v>561</v>
      </c>
      <c r="B450" s="3"/>
      <c r="C450" s="4"/>
      <c r="E450" s="3"/>
      <c r="F450" s="4"/>
    </row>
    <row r="451" spans="1:6" ht="15.75" customHeight="1">
      <c r="A451" s="4" t="s">
        <v>562</v>
      </c>
      <c r="B451" s="3"/>
      <c r="C451" s="4"/>
      <c r="E451" s="3"/>
      <c r="F451" s="4"/>
    </row>
    <row r="452" spans="1:6" ht="6" customHeight="1">
      <c r="A452" s="4"/>
      <c r="B452" s="3"/>
      <c r="C452" s="4"/>
      <c r="E452" s="3"/>
      <c r="F452" s="4"/>
    </row>
    <row r="453" spans="1:6" ht="15.75" customHeight="1">
      <c r="A453" s="5"/>
      <c r="B453" s="3"/>
      <c r="C453" s="4"/>
      <c r="D453" s="16" t="s">
        <v>427</v>
      </c>
      <c r="E453" s="3"/>
      <c r="F453" s="4"/>
    </row>
    <row r="454" spans="1:6" ht="6" customHeight="1">
      <c r="A454" s="5"/>
      <c r="B454" s="3"/>
      <c r="C454" s="4"/>
      <c r="E454" s="3"/>
      <c r="F454" s="4"/>
    </row>
    <row r="455" spans="1:6" ht="15.75" customHeight="1">
      <c r="A455" s="4" t="s">
        <v>563</v>
      </c>
      <c r="B455" s="3"/>
      <c r="C455" s="4"/>
      <c r="E455" s="3"/>
      <c r="F455" s="4"/>
    </row>
    <row r="456" spans="1:6" ht="15.75" customHeight="1">
      <c r="A456" s="4" t="s">
        <v>564</v>
      </c>
      <c r="B456" s="3"/>
      <c r="C456" s="4"/>
      <c r="E456" s="3"/>
      <c r="F456" s="4"/>
    </row>
    <row r="457" spans="1:6" ht="15.75" customHeight="1">
      <c r="A457" s="4"/>
      <c r="B457" s="3"/>
      <c r="C457" s="4"/>
      <c r="E457" s="3"/>
      <c r="F457" s="4"/>
    </row>
    <row r="458" spans="1:6" ht="15.75" customHeight="1">
      <c r="A458" s="4" t="s">
        <v>565</v>
      </c>
      <c r="B458" s="3"/>
      <c r="C458" s="4"/>
      <c r="E458" s="3"/>
      <c r="F458" s="4"/>
    </row>
    <row r="459" spans="1:6" ht="15.75" customHeight="1">
      <c r="A459" s="4" t="s">
        <v>566</v>
      </c>
      <c r="B459" s="3"/>
      <c r="C459" s="4"/>
      <c r="E459" s="3"/>
      <c r="F459" s="4"/>
    </row>
    <row r="460" spans="1:6" ht="15.75" customHeight="1">
      <c r="A460" s="4"/>
      <c r="B460" s="3"/>
      <c r="C460" s="4"/>
      <c r="E460" s="3"/>
      <c r="F460" s="4"/>
    </row>
    <row r="461" spans="1:6" ht="15.75" customHeight="1">
      <c r="A461" s="1" t="s">
        <v>567</v>
      </c>
      <c r="B461" s="6">
        <f>+-B439*B440</f>
        <v>-26672.4</v>
      </c>
      <c r="C461" s="4" t="s">
        <v>700</v>
      </c>
      <c r="D461" s="4" t="s">
        <v>568</v>
      </c>
      <c r="E461" s="3"/>
      <c r="F461" s="4"/>
    </row>
    <row r="462" spans="3:6" ht="15.75" customHeight="1">
      <c r="C462" s="4"/>
      <c r="D462" s="4" t="s">
        <v>569</v>
      </c>
      <c r="F462" s="4"/>
    </row>
    <row r="463" spans="3:6" ht="6" customHeight="1">
      <c r="C463" s="4"/>
      <c r="D463" s="4"/>
      <c r="F463" s="4"/>
    </row>
    <row r="464" spans="3:6" ht="15.75" customHeight="1">
      <c r="C464" s="4"/>
      <c r="D464" s="4" t="s">
        <v>2359</v>
      </c>
      <c r="F464" s="4"/>
    </row>
    <row r="465" spans="3:6" ht="6" customHeight="1">
      <c r="C465" s="4"/>
      <c r="D465" s="4"/>
      <c r="F465" s="4"/>
    </row>
    <row r="466" spans="1:4" ht="15.75" customHeight="1">
      <c r="A466" s="1" t="s">
        <v>570</v>
      </c>
      <c r="B466" s="3">
        <f>+B461/B438</f>
        <v>-3.9988605697151427</v>
      </c>
      <c r="C466" s="4" t="s">
        <v>699</v>
      </c>
      <c r="D466" s="4" t="s">
        <v>2360</v>
      </c>
    </row>
    <row r="467" spans="1:6" ht="6" customHeight="1">
      <c r="A467" s="4"/>
      <c r="B467" s="3"/>
      <c r="C467" s="4"/>
      <c r="E467" s="3"/>
      <c r="F467" s="4"/>
    </row>
    <row r="468" spans="1:6" ht="15.75" customHeight="1">
      <c r="A468" s="4" t="s">
        <v>2361</v>
      </c>
      <c r="B468" s="3"/>
      <c r="C468" s="4"/>
      <c r="E468" s="3"/>
      <c r="F468" s="4"/>
    </row>
    <row r="469" spans="1:6" ht="6" customHeight="1">
      <c r="A469" s="4"/>
      <c r="B469" s="3"/>
      <c r="C469" s="4"/>
      <c r="E469" s="3"/>
      <c r="F469" s="4"/>
    </row>
    <row r="470" spans="1:7" ht="15.75" customHeight="1">
      <c r="A470" s="92" t="s">
        <v>571</v>
      </c>
      <c r="C470" s="4"/>
      <c r="G470" s="92" t="s">
        <v>572</v>
      </c>
    </row>
    <row r="471" spans="2:3" ht="6" customHeight="1">
      <c r="B471" s="3"/>
      <c r="C471" s="4"/>
    </row>
    <row r="472" spans="1:9" ht="15.75" customHeight="1">
      <c r="A472" s="4" t="s">
        <v>419</v>
      </c>
      <c r="D472" s="3">
        <f>-(ABS(B466)+H438+(E438/2)*SIN(H439*PI()/180)+(E439/2)*COS(H439*PI()/180))</f>
        <v>-5.308668190850475</v>
      </c>
      <c r="E472" s="4" t="s">
        <v>699</v>
      </c>
      <c r="G472" s="1" t="s">
        <v>2080</v>
      </c>
      <c r="H472" s="6">
        <f>+B438*D472</f>
        <v>-35408.81683297267</v>
      </c>
      <c r="I472" s="4" t="s">
        <v>700</v>
      </c>
    </row>
    <row r="473" spans="1:6" ht="6" customHeight="1">
      <c r="A473" s="4"/>
      <c r="B473" s="3"/>
      <c r="C473" s="4"/>
      <c r="E473" s="3"/>
      <c r="F473" s="4"/>
    </row>
    <row r="474" spans="1:7" ht="15.75" customHeight="1">
      <c r="A474" s="1" t="s">
        <v>2362</v>
      </c>
      <c r="B474" s="3"/>
      <c r="C474" s="4"/>
      <c r="D474" s="337"/>
      <c r="F474" s="4"/>
      <c r="G474" s="4" t="s">
        <v>2363</v>
      </c>
    </row>
    <row r="475" spans="1:6" ht="6" customHeight="1">
      <c r="A475" s="4"/>
      <c r="B475" s="3"/>
      <c r="C475" s="4"/>
      <c r="E475" s="3"/>
      <c r="F475" s="4"/>
    </row>
    <row r="476" spans="1:9" ht="15.75" customHeight="1">
      <c r="A476" s="68" t="s">
        <v>420</v>
      </c>
      <c r="B476" s="3">
        <f>+PI()*E439^2/4</f>
        <v>0.2827433388230814</v>
      </c>
      <c r="C476" s="4" t="s">
        <v>108</v>
      </c>
      <c r="G476" s="12" t="s">
        <v>421</v>
      </c>
      <c r="H476" s="13">
        <f>+H472*B476</f>
        <v>-10011.607095129619</v>
      </c>
      <c r="I476" s="4" t="s">
        <v>704</v>
      </c>
    </row>
    <row r="477" spans="1:7" ht="6" customHeight="1">
      <c r="A477" s="4"/>
      <c r="B477" s="3"/>
      <c r="C477" s="4"/>
      <c r="F477" s="6"/>
      <c r="G477" s="4"/>
    </row>
    <row r="478" spans="1:7" ht="15.75" customHeight="1">
      <c r="A478" s="4"/>
      <c r="B478" s="3"/>
      <c r="C478" s="4"/>
      <c r="D478" s="337"/>
      <c r="F478" s="6"/>
      <c r="G478" s="4" t="s">
        <v>1521</v>
      </c>
    </row>
    <row r="479" spans="1:7" ht="15.75" customHeight="1">
      <c r="A479" s="4"/>
      <c r="B479" s="3"/>
      <c r="C479" s="4"/>
      <c r="F479" s="6"/>
      <c r="G479" s="4" t="s">
        <v>423</v>
      </c>
    </row>
    <row r="480" spans="1:7" ht="6.75" customHeight="1">
      <c r="A480" s="4"/>
      <c r="B480" s="3"/>
      <c r="C480" s="4"/>
      <c r="F480" s="3"/>
      <c r="G480" s="4"/>
    </row>
    <row r="481" spans="1:4" ht="15.75" customHeight="1">
      <c r="A481" s="4" t="s">
        <v>422</v>
      </c>
      <c r="C481" s="6"/>
      <c r="D481" s="4"/>
    </row>
    <row r="482" spans="1:4" ht="15.75" customHeight="1">
      <c r="A482" s="4" t="s">
        <v>2364</v>
      </c>
      <c r="C482" s="6"/>
      <c r="D482" s="4"/>
    </row>
    <row r="483" spans="1:4" ht="15.75" customHeight="1">
      <c r="A483" s="4" t="s">
        <v>2365</v>
      </c>
      <c r="B483" s="4"/>
      <c r="C483" s="6"/>
      <c r="D483" s="4"/>
    </row>
    <row r="484" spans="1:4" ht="6.75" customHeight="1">
      <c r="A484" s="4"/>
      <c r="B484" s="4"/>
      <c r="C484" s="6"/>
      <c r="D484" s="4"/>
    </row>
    <row r="485" spans="1:3" ht="15.75" customHeight="1">
      <c r="A485" s="4" t="s">
        <v>1921</v>
      </c>
      <c r="B485" s="3">
        <f>+D472/COS(RADIANS(H439))</f>
        <v>-6.12992201805185</v>
      </c>
      <c r="C485" s="4" t="s">
        <v>699</v>
      </c>
    </row>
    <row r="486" spans="3:4" ht="6.75" customHeight="1">
      <c r="C486" s="6"/>
      <c r="D486" s="4"/>
    </row>
    <row r="487" spans="1:6" ht="15.75" customHeight="1">
      <c r="A487" s="92" t="s">
        <v>2366</v>
      </c>
      <c r="F487" s="92" t="s">
        <v>1522</v>
      </c>
    </row>
    <row r="488" ht="15.75" customHeight="1">
      <c r="F488" s="92" t="s">
        <v>1523</v>
      </c>
    </row>
    <row r="489" ht="15.75" customHeight="1">
      <c r="F489" s="92" t="s">
        <v>1524</v>
      </c>
    </row>
    <row r="490" ht="6.75" customHeight="1"/>
    <row r="491" spans="1:9" ht="15.75" customHeight="1">
      <c r="A491" s="1" t="s">
        <v>1309</v>
      </c>
      <c r="B491" s="3">
        <f>+B485*B476</f>
        <v>-1.7331946181091011</v>
      </c>
      <c r="C491" s="4" t="s">
        <v>109</v>
      </c>
      <c r="G491" s="1" t="s">
        <v>2083</v>
      </c>
      <c r="H491" s="3">
        <f>+(1/64)*PI()*(E439^4)</f>
        <v>0.0063617251235193305</v>
      </c>
      <c r="I491" s="4" t="s">
        <v>110</v>
      </c>
    </row>
    <row r="492" spans="1:3" ht="6.75" customHeight="1">
      <c r="A492" s="337"/>
      <c r="C492" s="4"/>
    </row>
    <row r="493" spans="1:3" ht="15.75" customHeight="1">
      <c r="A493" s="4" t="s">
        <v>2367</v>
      </c>
      <c r="C493" s="4"/>
    </row>
    <row r="494" spans="2:3" ht="6" customHeight="1">
      <c r="B494" s="92"/>
      <c r="C494" s="4"/>
    </row>
    <row r="495" spans="1:9" ht="15.75" customHeight="1">
      <c r="A495" s="2" t="s">
        <v>424</v>
      </c>
      <c r="B495" s="3">
        <f>+H491/B491</f>
        <v>-0.0036705197772076586</v>
      </c>
      <c r="C495" s="4" t="s">
        <v>699</v>
      </c>
      <c r="D495" s="92" t="s">
        <v>1894</v>
      </c>
      <c r="F495" s="100" t="s">
        <v>425</v>
      </c>
      <c r="H495" s="15">
        <f>+B485+B495</f>
        <v>-6.133592537829058</v>
      </c>
      <c r="I495" s="14" t="s">
        <v>699</v>
      </c>
    </row>
    <row r="496" ht="6" customHeight="1">
      <c r="C496" s="4"/>
    </row>
    <row r="497" ht="15.75" customHeight="1">
      <c r="A497" s="4" t="s">
        <v>1920</v>
      </c>
    </row>
    <row r="498" spans="2:8" ht="15.75" customHeight="1">
      <c r="B498" s="6"/>
      <c r="C498" s="4"/>
      <c r="E498" s="3"/>
      <c r="F498" s="4"/>
      <c r="H498" s="6"/>
    </row>
    <row r="499" spans="2:8" ht="15.75" customHeight="1">
      <c r="B499" s="287" t="s">
        <v>426</v>
      </c>
      <c r="C499" s="10"/>
      <c r="D499" s="11">
        <f>+ABS(H476)*ABS(B495)</f>
        <v>36.74780184430578</v>
      </c>
      <c r="E499" s="9" t="s">
        <v>707</v>
      </c>
      <c r="F499" s="12"/>
      <c r="H499" s="6"/>
    </row>
    <row r="500" spans="2:8" ht="15.75" customHeight="1">
      <c r="B500" s="2"/>
      <c r="C500" s="3"/>
      <c r="D500" s="4"/>
      <c r="E500" s="92"/>
      <c r="F500" s="4"/>
      <c r="H500" s="6"/>
    </row>
    <row r="501" spans="1:4" ht="15.75" customHeight="1">
      <c r="A501" s="4" t="s">
        <v>1922</v>
      </c>
      <c r="B501" s="2"/>
      <c r="C501" s="3"/>
      <c r="D501" s="4"/>
    </row>
    <row r="502" spans="3:6" ht="6" customHeight="1">
      <c r="C502" s="4"/>
      <c r="F502" s="4"/>
    </row>
    <row r="503" spans="1:11" ht="6" customHeight="1">
      <c r="A503" s="87"/>
      <c r="B503" s="91"/>
      <c r="C503" s="91"/>
      <c r="D503" s="90"/>
      <c r="E503" s="90"/>
      <c r="F503" s="90"/>
      <c r="G503" s="90"/>
      <c r="H503" s="90"/>
      <c r="I503" s="87"/>
      <c r="J503" s="90"/>
      <c r="K503" s="87"/>
    </row>
    <row r="504" spans="2:9" ht="12.75" customHeight="1">
      <c r="B504" s="3"/>
      <c r="C504" s="3"/>
      <c r="D504" s="13"/>
      <c r="E504" s="6"/>
      <c r="F504" s="3"/>
      <c r="H504" s="3"/>
      <c r="I504" s="4"/>
    </row>
    <row r="505" spans="5:9" ht="12.75" customHeight="1">
      <c r="E505" s="3"/>
      <c r="F505" s="4"/>
      <c r="I505" s="4"/>
    </row>
    <row r="506" spans="3:9" ht="12.75" customHeight="1">
      <c r="C506" s="4"/>
      <c r="F506" s="4"/>
      <c r="I506" s="4"/>
    </row>
    <row r="507" spans="2:9" ht="12.75" customHeight="1">
      <c r="B507" s="6"/>
      <c r="C507" s="4"/>
      <c r="E507" s="6"/>
      <c r="F507" s="4"/>
      <c r="I507" s="4"/>
    </row>
    <row r="508" spans="2:9" ht="12.75" customHeight="1">
      <c r="B508" s="6"/>
      <c r="C508" s="4"/>
      <c r="E508" s="3"/>
      <c r="F508" s="4"/>
      <c r="I508" s="4"/>
    </row>
    <row r="509" spans="3:9" ht="12.75" customHeight="1">
      <c r="C509" s="4"/>
      <c r="F509" s="4"/>
      <c r="I509" s="4"/>
    </row>
    <row r="510" spans="2:9" ht="12.75" customHeight="1">
      <c r="B510" s="6"/>
      <c r="C510" s="4"/>
      <c r="E510" s="3"/>
      <c r="F510" s="4"/>
      <c r="H510" s="6"/>
      <c r="I510" s="4"/>
    </row>
    <row r="511" ht="12.75" customHeight="1"/>
    <row r="512" ht="12.75" customHeight="1"/>
    <row r="513" ht="12.75" customHeight="1"/>
  </sheetData>
  <sheetProtection password="DD5B" sheet="1" objects="1" scenarios="1"/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4"/>
  <sheetViews>
    <sheetView tabSelected="1" view="pageBreakPreview" zoomScale="125" zoomScaleSheetLayoutView="125" workbookViewId="0" topLeftCell="A298">
      <selection activeCell="H302" sqref="H302"/>
    </sheetView>
  </sheetViews>
  <sheetFormatPr defaultColWidth="9.140625" defaultRowHeight="12.75"/>
  <cols>
    <col min="1" max="1" width="21.57421875" style="1" customWidth="1"/>
    <col min="2" max="2" width="9.140625" style="1" customWidth="1"/>
    <col min="3" max="3" width="8.140625" style="1" customWidth="1"/>
    <col min="4" max="4" width="11.7109375" style="1" customWidth="1"/>
    <col min="5" max="5" width="10.421875" style="1" customWidth="1"/>
    <col min="6" max="6" width="12.7109375" style="1" customWidth="1"/>
    <col min="7" max="7" width="10.7109375" style="1" customWidth="1"/>
    <col min="8" max="8" width="8.7109375" style="1" customWidth="1"/>
    <col min="9" max="9" width="8.00390625" style="1" customWidth="1"/>
    <col min="10" max="10" width="9.57421875" style="1" customWidth="1"/>
    <col min="11" max="11" width="6.57421875" style="1" customWidth="1"/>
    <col min="12" max="12" width="5.00390625" style="1" customWidth="1"/>
    <col min="13" max="16384" width="9.140625" style="1" customWidth="1"/>
  </cols>
  <sheetData>
    <row r="1" ht="15.75" customHeight="1">
      <c r="A1" s="85" t="s">
        <v>2512</v>
      </c>
    </row>
    <row r="2" ht="6" customHeight="1"/>
    <row r="3" ht="15.75" customHeight="1">
      <c r="A3" s="5" t="s">
        <v>112</v>
      </c>
    </row>
    <row r="4" ht="6" customHeight="1"/>
    <row r="5" spans="1:11" ht="15.75" customHeight="1">
      <c r="A5" s="2" t="s">
        <v>2281</v>
      </c>
      <c r="B5" s="1">
        <f>6.67*10^3</f>
        <v>6670</v>
      </c>
      <c r="C5" s="4" t="s">
        <v>713</v>
      </c>
      <c r="D5" s="2" t="s">
        <v>2515</v>
      </c>
      <c r="E5" s="3">
        <v>0.1</v>
      </c>
      <c r="F5" s="4" t="s">
        <v>699</v>
      </c>
      <c r="G5" s="1" t="s">
        <v>2285</v>
      </c>
      <c r="H5" s="3">
        <v>0.45</v>
      </c>
      <c r="I5" s="4" t="s">
        <v>699</v>
      </c>
      <c r="K5" s="17"/>
    </row>
    <row r="6" spans="1:9" ht="15.75" customHeight="1">
      <c r="A6" s="2" t="s">
        <v>2282</v>
      </c>
      <c r="B6" s="1">
        <v>8825</v>
      </c>
      <c r="C6" s="4" t="s">
        <v>713</v>
      </c>
      <c r="D6" s="1" t="s">
        <v>714</v>
      </c>
      <c r="E6" s="3">
        <v>0.8</v>
      </c>
      <c r="F6" s="4" t="s">
        <v>699</v>
      </c>
      <c r="G6" s="1" t="s">
        <v>2513</v>
      </c>
      <c r="H6" s="3">
        <v>0.09</v>
      </c>
      <c r="I6" s="4" t="s">
        <v>699</v>
      </c>
    </row>
    <row r="7" spans="1:9" ht="15.75" customHeight="1">
      <c r="A7" s="2" t="s">
        <v>2277</v>
      </c>
      <c r="B7" s="1">
        <v>133362</v>
      </c>
      <c r="C7" s="4" t="s">
        <v>713</v>
      </c>
      <c r="D7" s="1" t="s">
        <v>2284</v>
      </c>
      <c r="E7" s="3">
        <v>0.6</v>
      </c>
      <c r="F7" s="4" t="s">
        <v>699</v>
      </c>
      <c r="G7" s="1" t="s">
        <v>2514</v>
      </c>
      <c r="H7" s="3">
        <v>0.1</v>
      </c>
      <c r="I7" s="4" t="s">
        <v>699</v>
      </c>
    </row>
    <row r="8" spans="1:9" ht="15.75" customHeight="1">
      <c r="A8" s="1" t="s">
        <v>711</v>
      </c>
      <c r="B8" s="3">
        <v>2</v>
      </c>
      <c r="C8" s="4" t="s">
        <v>699</v>
      </c>
      <c r="I8" s="17"/>
    </row>
    <row r="9" spans="2:9" ht="6" customHeight="1">
      <c r="B9" s="3"/>
      <c r="C9" s="4"/>
      <c r="I9" s="17"/>
    </row>
    <row r="10" spans="1:9" ht="15.75" customHeight="1">
      <c r="A10" s="5" t="s">
        <v>428</v>
      </c>
      <c r="B10" s="3"/>
      <c r="C10" s="4"/>
      <c r="I10" s="17"/>
    </row>
    <row r="11" spans="1:9" ht="15.75" customHeight="1">
      <c r="A11" s="4" t="s">
        <v>429</v>
      </c>
      <c r="B11" s="3"/>
      <c r="C11" s="4"/>
      <c r="I11" s="17"/>
    </row>
    <row r="12" spans="1:9" ht="6" customHeight="1">
      <c r="A12" s="2"/>
      <c r="C12" s="4"/>
      <c r="H12" s="3"/>
      <c r="I12" s="4"/>
    </row>
    <row r="13" spans="1:9" ht="15.75" customHeight="1">
      <c r="A13" s="5" t="s">
        <v>113</v>
      </c>
      <c r="C13" s="4"/>
      <c r="H13" s="3"/>
      <c r="I13" s="4"/>
    </row>
    <row r="14" spans="1:9" ht="6" customHeight="1">
      <c r="A14" s="5"/>
      <c r="C14" s="4"/>
      <c r="H14" s="3"/>
      <c r="I14" s="4"/>
    </row>
    <row r="15" spans="1:9" ht="15.75" customHeight="1">
      <c r="A15" s="4" t="s">
        <v>430</v>
      </c>
      <c r="C15" s="4"/>
      <c r="H15" s="3"/>
      <c r="I15" s="4"/>
    </row>
    <row r="16" spans="1:9" ht="15.75" customHeight="1">
      <c r="A16" s="4" t="s">
        <v>431</v>
      </c>
      <c r="C16" s="4"/>
      <c r="H16" s="3"/>
      <c r="I16" s="4"/>
    </row>
    <row r="17" spans="1:9" ht="15.75" customHeight="1">
      <c r="A17" s="4" t="s">
        <v>432</v>
      </c>
      <c r="C17" s="4"/>
      <c r="H17" s="3"/>
      <c r="I17" s="4"/>
    </row>
    <row r="18" spans="1:9" ht="15.75" customHeight="1">
      <c r="A18" s="4" t="s">
        <v>433</v>
      </c>
      <c r="C18" s="4"/>
      <c r="H18" s="3"/>
      <c r="I18" s="4"/>
    </row>
    <row r="19" spans="1:9" ht="15.75" customHeight="1">
      <c r="A19" s="4" t="s">
        <v>434</v>
      </c>
      <c r="C19" s="4"/>
      <c r="H19" s="3"/>
      <c r="I19" s="4"/>
    </row>
    <row r="20" spans="1:9" ht="15.75" customHeight="1">
      <c r="A20" s="4" t="s">
        <v>435</v>
      </c>
      <c r="C20" s="4"/>
      <c r="H20" s="3"/>
      <c r="I20" s="4"/>
    </row>
    <row r="21" spans="1:9" ht="5.25" customHeight="1">
      <c r="A21" s="4"/>
      <c r="C21" s="4"/>
      <c r="H21" s="3"/>
      <c r="I21" s="4"/>
    </row>
    <row r="22" spans="1:9" ht="15.75" customHeight="1">
      <c r="A22" s="4" t="s">
        <v>436</v>
      </c>
      <c r="C22" s="4"/>
      <c r="D22" s="1" t="s">
        <v>437</v>
      </c>
      <c r="E22" s="6">
        <f>+E5*B7</f>
        <v>13336.2</v>
      </c>
      <c r="F22" s="4" t="s">
        <v>700</v>
      </c>
      <c r="H22" s="3"/>
      <c r="I22" s="4"/>
    </row>
    <row r="23" spans="1:9" ht="6" customHeight="1">
      <c r="A23" s="2"/>
      <c r="C23" s="4"/>
      <c r="H23" s="3"/>
      <c r="I23" s="4"/>
    </row>
    <row r="24" spans="1:10" ht="15.75" customHeight="1">
      <c r="A24" s="4" t="s">
        <v>439</v>
      </c>
      <c r="E24" s="6"/>
      <c r="F24" s="4"/>
      <c r="G24" s="4" t="s">
        <v>438</v>
      </c>
      <c r="I24" s="3">
        <f>+E22/B5</f>
        <v>1.9994302848575713</v>
      </c>
      <c r="J24" s="4" t="s">
        <v>699</v>
      </c>
    </row>
    <row r="25" spans="1:10" ht="6" customHeight="1">
      <c r="A25" s="4"/>
      <c r="E25" s="6"/>
      <c r="F25" s="4"/>
      <c r="G25" s="4"/>
      <c r="I25" s="3"/>
      <c r="J25" s="4"/>
    </row>
    <row r="26" spans="1:10" ht="15.75" customHeight="1">
      <c r="A26" s="4" t="s">
        <v>440</v>
      </c>
      <c r="E26" s="6"/>
      <c r="F26" s="4"/>
      <c r="G26" s="4"/>
      <c r="I26" s="3"/>
      <c r="J26" s="4"/>
    </row>
    <row r="27" spans="1:10" ht="6" customHeight="1">
      <c r="A27" s="4"/>
      <c r="E27" s="6"/>
      <c r="F27" s="4"/>
      <c r="G27" s="4"/>
      <c r="I27" s="3"/>
      <c r="J27" s="4"/>
    </row>
    <row r="28" spans="1:10" ht="15.75" customHeight="1">
      <c r="A28" s="1" t="s">
        <v>441</v>
      </c>
      <c r="B28" s="3">
        <f>+I24-E6-H6</f>
        <v>1.1094302848575712</v>
      </c>
      <c r="C28" s="4" t="s">
        <v>699</v>
      </c>
      <c r="E28" s="4" t="s">
        <v>442</v>
      </c>
      <c r="F28" s="6">
        <f>+B5*B28</f>
        <v>7399.9</v>
      </c>
      <c r="G28" s="4" t="s">
        <v>700</v>
      </c>
      <c r="I28" s="3"/>
      <c r="J28" s="4"/>
    </row>
    <row r="29" spans="2:7" ht="6" customHeight="1">
      <c r="B29" s="6"/>
      <c r="C29" s="4"/>
      <c r="F29" s="3"/>
      <c r="G29" s="4"/>
    </row>
    <row r="30" spans="1:6" ht="15.75" customHeight="1">
      <c r="A30" s="4" t="s">
        <v>443</v>
      </c>
      <c r="B30" s="6"/>
      <c r="C30" s="4"/>
      <c r="F30" s="3"/>
    </row>
    <row r="31" spans="1:10" ht="6.75" customHeight="1">
      <c r="A31" s="4"/>
      <c r="B31" s="6"/>
      <c r="C31" s="4"/>
      <c r="F31" s="3"/>
      <c r="G31" s="4"/>
      <c r="I31" s="6"/>
      <c r="J31" s="4"/>
    </row>
    <row r="32" spans="1:10" ht="15.75" customHeight="1">
      <c r="A32" s="4" t="s">
        <v>444</v>
      </c>
      <c r="C32" s="6">
        <f>+E22+(E7-E6)*B5</f>
        <v>12002.2</v>
      </c>
      <c r="D32" s="4" t="s">
        <v>700</v>
      </c>
      <c r="E32" s="4" t="s">
        <v>445</v>
      </c>
      <c r="F32" s="3"/>
      <c r="G32" s="4"/>
      <c r="I32" s="6"/>
      <c r="J32" s="4"/>
    </row>
    <row r="33" spans="1:10" ht="6.75" customHeight="1">
      <c r="A33" s="4"/>
      <c r="B33" s="6"/>
      <c r="C33" s="4"/>
      <c r="F33" s="3"/>
      <c r="G33" s="4"/>
      <c r="I33" s="6"/>
      <c r="J33" s="4"/>
    </row>
    <row r="34" spans="1:3" ht="15.75" customHeight="1">
      <c r="A34" s="1" t="s">
        <v>446</v>
      </c>
      <c r="B34" s="3">
        <f>+C32/B6</f>
        <v>1.3600226628895185</v>
      </c>
      <c r="C34" s="22" t="s">
        <v>699</v>
      </c>
    </row>
    <row r="35" spans="2:7" ht="6.75" customHeight="1">
      <c r="B35" s="6"/>
      <c r="C35" s="4"/>
      <c r="F35" s="3"/>
      <c r="G35" s="4"/>
    </row>
    <row r="36" spans="1:7" ht="15.75" customHeight="1">
      <c r="A36" s="4" t="s">
        <v>447</v>
      </c>
      <c r="F36" s="3"/>
      <c r="G36" s="4"/>
    </row>
    <row r="37" spans="2:7" ht="6.75" customHeight="1">
      <c r="B37" s="6"/>
      <c r="C37" s="4"/>
      <c r="F37" s="3"/>
      <c r="G37" s="4"/>
    </row>
    <row r="38" spans="1:9" ht="15.75" customHeight="1">
      <c r="A38" s="1" t="s">
        <v>1880</v>
      </c>
      <c r="B38" s="3">
        <f>+B34-E7+H5</f>
        <v>1.2100226628895185</v>
      </c>
      <c r="C38" s="22" t="s">
        <v>699</v>
      </c>
      <c r="F38" s="4" t="s">
        <v>1879</v>
      </c>
      <c r="H38" s="6">
        <f>+B38*B6</f>
        <v>10678.45</v>
      </c>
      <c r="I38" s="4" t="s">
        <v>700</v>
      </c>
    </row>
    <row r="39" spans="2:10" ht="6" customHeight="1">
      <c r="B39" s="6"/>
      <c r="C39" s="4"/>
      <c r="E39" s="3"/>
      <c r="F39" s="4"/>
      <c r="G39" s="4"/>
      <c r="I39" s="6"/>
      <c r="J39" s="4"/>
    </row>
    <row r="40" spans="1:12" ht="15.75" customHeight="1">
      <c r="A40" s="4" t="s">
        <v>1881</v>
      </c>
      <c r="D40" s="287" t="s">
        <v>448</v>
      </c>
      <c r="E40" s="10"/>
      <c r="F40" s="8">
        <f>+(H38-F28)/B7</f>
        <v>0.024583839474512988</v>
      </c>
      <c r="G40" s="23" t="s">
        <v>699</v>
      </c>
      <c r="L40" s="22"/>
    </row>
    <row r="41" spans="1:12" ht="15.75" customHeight="1">
      <c r="A41" s="4"/>
      <c r="D41" s="100"/>
      <c r="E41" s="12"/>
      <c r="F41" s="15"/>
      <c r="G41" s="25"/>
      <c r="L41" s="22"/>
    </row>
    <row r="42" spans="1:12" ht="15.75" customHeight="1">
      <c r="A42" s="4" t="s">
        <v>1386</v>
      </c>
      <c r="D42" s="100"/>
      <c r="E42" s="12"/>
      <c r="F42" s="15"/>
      <c r="G42" s="25"/>
      <c r="L42" s="22"/>
    </row>
    <row r="43" spans="1:12" ht="15.75" customHeight="1">
      <c r="A43" s="4" t="s">
        <v>269</v>
      </c>
      <c r="D43" s="100"/>
      <c r="E43" s="12"/>
      <c r="F43" s="15"/>
      <c r="G43" s="25"/>
      <c r="L43" s="22"/>
    </row>
    <row r="44" spans="1:12" ht="15.75" customHeight="1">
      <c r="A44" s="4" t="s">
        <v>268</v>
      </c>
      <c r="D44" s="100"/>
      <c r="E44" s="12"/>
      <c r="F44" s="15"/>
      <c r="G44" s="25"/>
      <c r="L44" s="22"/>
    </row>
    <row r="45" spans="1:12" ht="15.75" customHeight="1">
      <c r="A45" s="4" t="s">
        <v>1882</v>
      </c>
      <c r="D45" s="100"/>
      <c r="E45" s="12"/>
      <c r="F45" s="15"/>
      <c r="G45" s="25"/>
      <c r="L45" s="22"/>
    </row>
    <row r="46" spans="1:12" ht="15.75" customHeight="1">
      <c r="A46" s="75" t="s">
        <v>1883</v>
      </c>
      <c r="B46" s="4" t="s">
        <v>1884</v>
      </c>
      <c r="D46" s="100"/>
      <c r="E46" s="12"/>
      <c r="F46" s="15"/>
      <c r="G46" s="25"/>
      <c r="L46" s="22"/>
    </row>
    <row r="47" spans="1:12" ht="15.75" customHeight="1">
      <c r="A47" s="4"/>
      <c r="B47" s="4" t="s">
        <v>1383</v>
      </c>
      <c r="D47" s="100"/>
      <c r="E47" s="12"/>
      <c r="F47" s="15"/>
      <c r="G47" s="25"/>
      <c r="L47" s="22"/>
    </row>
    <row r="48" spans="1:12" ht="6.75" customHeight="1">
      <c r="A48" s="4"/>
      <c r="D48" s="100"/>
      <c r="E48" s="12"/>
      <c r="F48" s="15"/>
      <c r="G48" s="25"/>
      <c r="L48" s="22"/>
    </row>
    <row r="49" spans="1:12" ht="15.75" customHeight="1">
      <c r="A49" s="75" t="s">
        <v>1385</v>
      </c>
      <c r="B49" s="4" t="s">
        <v>1384</v>
      </c>
      <c r="D49" s="100"/>
      <c r="E49" s="12"/>
      <c r="F49" s="15"/>
      <c r="G49" s="25"/>
      <c r="L49" s="22"/>
    </row>
    <row r="50" spans="1:12" ht="15.75" customHeight="1">
      <c r="A50" s="75"/>
      <c r="B50" s="4"/>
      <c r="D50" s="100"/>
      <c r="E50" s="12"/>
      <c r="F50" s="15"/>
      <c r="G50" s="25"/>
      <c r="L50" s="22"/>
    </row>
    <row r="51" spans="1:12" ht="15.75" customHeight="1">
      <c r="A51" s="4" t="s">
        <v>1387</v>
      </c>
      <c r="C51" s="4"/>
      <c r="F51" s="4"/>
      <c r="L51" s="22"/>
    </row>
    <row r="52" spans="1:12" ht="6.75" customHeight="1">
      <c r="A52" s="5"/>
      <c r="C52" s="4"/>
      <c r="F52" s="4"/>
      <c r="L52" s="22"/>
    </row>
    <row r="53" spans="1:12" ht="15.75" customHeight="1">
      <c r="A53" s="1" t="s">
        <v>1388</v>
      </c>
      <c r="B53" s="13">
        <f>+H38</f>
        <v>10678.45</v>
      </c>
      <c r="C53" s="4" t="s">
        <v>700</v>
      </c>
      <c r="E53" s="4" t="s">
        <v>1389</v>
      </c>
      <c r="F53" s="3">
        <f>+H5*B8</f>
        <v>0.9</v>
      </c>
      <c r="G53" s="4" t="s">
        <v>108</v>
      </c>
      <c r="L53" s="22"/>
    </row>
    <row r="54" spans="1:12" ht="6.75" customHeight="1">
      <c r="A54" s="5"/>
      <c r="C54" s="4"/>
      <c r="F54" s="4"/>
      <c r="L54" s="22"/>
    </row>
    <row r="55" spans="1:12" ht="15.75" customHeight="1">
      <c r="A55" s="1" t="s">
        <v>2355</v>
      </c>
      <c r="B55" s="6">
        <f>+H38*F53</f>
        <v>9610.605000000001</v>
      </c>
      <c r="C55" s="22" t="s">
        <v>704</v>
      </c>
      <c r="E55" s="4" t="s">
        <v>449</v>
      </c>
      <c r="F55" s="4"/>
      <c r="L55" s="22"/>
    </row>
    <row r="56" spans="1:12" ht="15.75" customHeight="1">
      <c r="A56" s="5"/>
      <c r="C56" s="4"/>
      <c r="E56" s="4" t="s">
        <v>1390</v>
      </c>
      <c r="F56" s="4"/>
      <c r="L56" s="22"/>
    </row>
    <row r="57" spans="1:12" ht="6" customHeight="1">
      <c r="A57" s="75"/>
      <c r="B57" s="4"/>
      <c r="D57" s="100"/>
      <c r="E57" s="12"/>
      <c r="F57" s="15"/>
      <c r="G57" s="25"/>
      <c r="L57" s="22"/>
    </row>
    <row r="58" spans="1:12" ht="15.75" customHeight="1">
      <c r="A58" s="4" t="s">
        <v>450</v>
      </c>
      <c r="B58" s="4"/>
      <c r="D58" s="100"/>
      <c r="E58" s="12"/>
      <c r="F58" s="15"/>
      <c r="G58" s="25"/>
      <c r="L58" s="22"/>
    </row>
    <row r="59" spans="1:12" ht="15.75" customHeight="1">
      <c r="A59" s="4" t="s">
        <v>451</v>
      </c>
      <c r="B59" s="4"/>
      <c r="D59" s="100"/>
      <c r="E59" s="12"/>
      <c r="F59" s="15"/>
      <c r="G59" s="25"/>
      <c r="L59" s="22"/>
    </row>
    <row r="60" spans="1:12" ht="6" customHeight="1">
      <c r="A60" s="75"/>
      <c r="B60" s="4"/>
      <c r="D60" s="100"/>
      <c r="E60" s="12"/>
      <c r="F60" s="15"/>
      <c r="G60" s="25"/>
      <c r="L60" s="22"/>
    </row>
    <row r="61" spans="1:12" ht="15.75" customHeight="1">
      <c r="A61" s="92" t="s">
        <v>452</v>
      </c>
      <c r="B61" s="4"/>
      <c r="C61" s="337"/>
      <c r="F61" s="92" t="s">
        <v>456</v>
      </c>
      <c r="L61" s="22"/>
    </row>
    <row r="62" spans="1:12" ht="15.75" customHeight="1">
      <c r="A62" s="92" t="s">
        <v>1412</v>
      </c>
      <c r="B62" s="4"/>
      <c r="C62" s="337"/>
      <c r="F62" s="92" t="s">
        <v>1413</v>
      </c>
      <c r="L62" s="22"/>
    </row>
    <row r="63" spans="1:12" ht="6" customHeight="1">
      <c r="A63" s="75"/>
      <c r="B63" s="4"/>
      <c r="D63" s="3"/>
      <c r="F63" s="75"/>
      <c r="L63" s="22"/>
    </row>
    <row r="64" spans="1:12" ht="15.75" customHeight="1">
      <c r="A64" s="4" t="s">
        <v>457</v>
      </c>
      <c r="B64" s="3">
        <f>+B38+(E7-H5)/2</f>
        <v>1.2850226628895185</v>
      </c>
      <c r="C64" s="4" t="s">
        <v>699</v>
      </c>
      <c r="F64" s="4" t="s">
        <v>458</v>
      </c>
      <c r="H64" s="3">
        <f>+I24-E6+E7/2</f>
        <v>1.4994302848575713</v>
      </c>
      <c r="I64" s="4" t="s">
        <v>699</v>
      </c>
      <c r="L64" s="22"/>
    </row>
    <row r="65" spans="1:12" ht="6" customHeight="1">
      <c r="A65" s="75"/>
      <c r="B65" s="4"/>
      <c r="D65" s="3"/>
      <c r="F65" s="75"/>
      <c r="L65" s="22"/>
    </row>
    <row r="66" spans="1:12" ht="15.75" customHeight="1">
      <c r="A66" s="92" t="s">
        <v>453</v>
      </c>
      <c r="B66" s="4"/>
      <c r="C66" s="337"/>
      <c r="F66" s="92" t="s">
        <v>459</v>
      </c>
      <c r="I66" s="337"/>
      <c r="L66" s="22"/>
    </row>
    <row r="67" spans="1:12" ht="6" customHeight="1">
      <c r="A67" s="3"/>
      <c r="B67" s="4"/>
      <c r="F67" s="3"/>
      <c r="L67" s="22"/>
    </row>
    <row r="68" spans="1:12" ht="15.75" customHeight="1">
      <c r="A68" s="1" t="s">
        <v>2449</v>
      </c>
      <c r="B68" s="6">
        <f>+B64*B6</f>
        <v>11340.325</v>
      </c>
      <c r="C68" s="4" t="s">
        <v>700</v>
      </c>
      <c r="F68" s="1" t="s">
        <v>454</v>
      </c>
      <c r="H68" s="6">
        <f>+H64*B5</f>
        <v>10001.2</v>
      </c>
      <c r="I68" s="4" t="s">
        <v>700</v>
      </c>
      <c r="L68" s="22"/>
    </row>
    <row r="69" spans="1:12" ht="6" customHeight="1">
      <c r="A69" s="75"/>
      <c r="B69" s="4"/>
      <c r="F69" s="75"/>
      <c r="L69" s="22"/>
    </row>
    <row r="70" spans="1:12" ht="15.75" customHeight="1">
      <c r="A70" s="4" t="s">
        <v>1398</v>
      </c>
      <c r="B70" s="4"/>
      <c r="C70" s="337"/>
      <c r="F70" s="4" t="s">
        <v>1548</v>
      </c>
      <c r="I70" s="337"/>
      <c r="L70" s="22"/>
    </row>
    <row r="71" spans="2:12" ht="6.75" customHeight="1">
      <c r="B71" s="4"/>
      <c r="L71" s="22"/>
    </row>
    <row r="72" spans="1:12" ht="15.75" customHeight="1">
      <c r="A72" s="1" t="s">
        <v>2081</v>
      </c>
      <c r="B72" s="3">
        <f>+B8*(E7-H5)</f>
        <v>0.29999999999999993</v>
      </c>
      <c r="C72" s="4" t="s">
        <v>108</v>
      </c>
      <c r="F72" s="1" t="s">
        <v>455</v>
      </c>
      <c r="H72" s="3">
        <f>+B8*E7</f>
        <v>1.2</v>
      </c>
      <c r="I72" s="4" t="s">
        <v>108</v>
      </c>
      <c r="L72" s="22"/>
    </row>
    <row r="73" spans="1:12" ht="6.75" customHeight="1">
      <c r="A73" s="75"/>
      <c r="B73" s="4"/>
      <c r="F73" s="75"/>
      <c r="L73" s="22"/>
    </row>
    <row r="74" spans="1:12" ht="15.75" customHeight="1">
      <c r="A74" s="4" t="s">
        <v>1399</v>
      </c>
      <c r="B74" s="4"/>
      <c r="C74" s="337"/>
      <c r="F74" s="4" t="s">
        <v>2428</v>
      </c>
      <c r="H74" s="337"/>
      <c r="L74" s="22"/>
    </row>
    <row r="75" spans="1:12" ht="6" customHeight="1">
      <c r="A75" s="75"/>
      <c r="B75" s="4"/>
      <c r="F75" s="75"/>
      <c r="L75" s="22"/>
    </row>
    <row r="76" spans="1:12" ht="15.75" customHeight="1">
      <c r="A76" s="1" t="s">
        <v>1411</v>
      </c>
      <c r="B76" s="6">
        <f>+B68*B72</f>
        <v>3402.0974999999994</v>
      </c>
      <c r="C76" s="22" t="s">
        <v>704</v>
      </c>
      <c r="F76" s="1" t="s">
        <v>460</v>
      </c>
      <c r="H76" s="6">
        <f>+H68*H72</f>
        <v>12001.44</v>
      </c>
      <c r="I76" s="22" t="s">
        <v>704</v>
      </c>
      <c r="L76" s="22"/>
    </row>
    <row r="77" spans="1:12" ht="6.75" customHeight="1">
      <c r="A77" s="4"/>
      <c r="L77" s="22"/>
    </row>
    <row r="78" spans="1:12" ht="15.75" customHeight="1">
      <c r="A78" s="4" t="s">
        <v>271</v>
      </c>
      <c r="L78" s="22"/>
    </row>
    <row r="79" spans="1:12" ht="15.75" customHeight="1">
      <c r="A79" s="4" t="s">
        <v>270</v>
      </c>
      <c r="L79" s="22"/>
    </row>
    <row r="80" spans="1:12" ht="6" customHeight="1">
      <c r="A80" s="4"/>
      <c r="L80" s="22"/>
    </row>
    <row r="81" spans="1:12" ht="15.75" customHeight="1">
      <c r="A81" s="10" t="s">
        <v>461</v>
      </c>
      <c r="B81" s="11">
        <f>+B55+B76-H76</f>
        <v>1011.2625000000007</v>
      </c>
      <c r="C81" s="9" t="s">
        <v>704</v>
      </c>
      <c r="E81" s="4" t="s">
        <v>666</v>
      </c>
      <c r="L81" s="22"/>
    </row>
    <row r="82" spans="1:12" ht="6" customHeight="1">
      <c r="A82" s="4"/>
      <c r="L82" s="22"/>
    </row>
    <row r="83" spans="1:12" ht="15.75" customHeight="1">
      <c r="A83" s="4" t="s">
        <v>667</v>
      </c>
      <c r="L83" s="22"/>
    </row>
    <row r="84" spans="1:12" ht="15.75" customHeight="1">
      <c r="A84" s="4" t="s">
        <v>608</v>
      </c>
      <c r="L84" s="22"/>
    </row>
    <row r="85" spans="1:12" ht="15.75" customHeight="1">
      <c r="A85" s="4" t="s">
        <v>668</v>
      </c>
      <c r="L85" s="22"/>
    </row>
    <row r="86" spans="1:12" ht="6" customHeight="1">
      <c r="A86" s="4"/>
      <c r="L86" s="22"/>
    </row>
    <row r="87" spans="1:12" ht="15.75" customHeight="1">
      <c r="A87" s="4" t="s">
        <v>609</v>
      </c>
      <c r="C87" s="6"/>
      <c r="D87" s="4"/>
      <c r="F87" s="4" t="s">
        <v>610</v>
      </c>
      <c r="H87" s="6"/>
      <c r="I87" s="4"/>
      <c r="L87" s="22"/>
    </row>
    <row r="88" spans="1:12" ht="15.75" customHeight="1">
      <c r="A88" s="4" t="s">
        <v>474</v>
      </c>
      <c r="C88" s="6"/>
      <c r="D88" s="4"/>
      <c r="F88" s="4" t="s">
        <v>480</v>
      </c>
      <c r="H88" s="6"/>
      <c r="I88" s="4"/>
      <c r="L88" s="22"/>
    </row>
    <row r="89" spans="1:12" ht="15.75" customHeight="1">
      <c r="A89" s="4" t="s">
        <v>475</v>
      </c>
      <c r="C89" s="6"/>
      <c r="D89" s="4"/>
      <c r="F89" s="4" t="s">
        <v>475</v>
      </c>
      <c r="H89" s="6"/>
      <c r="I89" s="4"/>
      <c r="L89" s="22"/>
    </row>
    <row r="90" spans="2:12" ht="6" customHeight="1">
      <c r="B90" s="4"/>
      <c r="C90" s="6"/>
      <c r="D90" s="4"/>
      <c r="G90" s="4"/>
      <c r="H90" s="6"/>
      <c r="I90" s="4"/>
      <c r="L90" s="22"/>
    </row>
    <row r="91" spans="1:12" ht="15.75" customHeight="1">
      <c r="A91" s="1" t="s">
        <v>1414</v>
      </c>
      <c r="B91" s="3">
        <f>+B64</f>
        <v>1.2850226628895185</v>
      </c>
      <c r="C91" s="4" t="s">
        <v>699</v>
      </c>
      <c r="E91" s="4"/>
      <c r="F91" s="1" t="s">
        <v>481</v>
      </c>
      <c r="G91" s="3">
        <f>+H64</f>
        <v>1.4994302848575713</v>
      </c>
      <c r="H91" s="4" t="s">
        <v>699</v>
      </c>
      <c r="L91" s="22"/>
    </row>
    <row r="92" spans="2:12" ht="6" customHeight="1">
      <c r="B92" s="6"/>
      <c r="C92" s="4"/>
      <c r="G92" s="6"/>
      <c r="H92" s="4"/>
      <c r="L92" s="22"/>
    </row>
    <row r="93" spans="1:12" ht="15.75" customHeight="1">
      <c r="A93" s="92" t="s">
        <v>478</v>
      </c>
      <c r="B93" s="4"/>
      <c r="F93" s="92" t="s">
        <v>482</v>
      </c>
      <c r="G93" s="4"/>
      <c r="L93" s="22"/>
    </row>
    <row r="94" spans="1:12" ht="15.75" customHeight="1">
      <c r="A94" s="92" t="s">
        <v>477</v>
      </c>
      <c r="B94" s="4"/>
      <c r="F94" s="92" t="s">
        <v>483</v>
      </c>
      <c r="G94" s="4"/>
      <c r="L94" s="22"/>
    </row>
    <row r="95" spans="1:12" ht="6" customHeight="1">
      <c r="A95" s="3"/>
      <c r="B95" s="4"/>
      <c r="F95" s="3"/>
      <c r="G95" s="4"/>
      <c r="L95" s="22"/>
    </row>
    <row r="96" spans="1:12" ht="15.75" customHeight="1">
      <c r="A96" s="1" t="s">
        <v>1415</v>
      </c>
      <c r="B96" s="3">
        <f>+B91*B72</f>
        <v>0.38550679886685546</v>
      </c>
      <c r="C96" s="4" t="s">
        <v>109</v>
      </c>
      <c r="F96" s="1" t="s">
        <v>484</v>
      </c>
      <c r="G96" s="3">
        <f>+G91*H72</f>
        <v>1.7993163418290856</v>
      </c>
      <c r="H96" s="4" t="s">
        <v>109</v>
      </c>
      <c r="L96" s="22"/>
    </row>
    <row r="97" spans="2:12" ht="6" customHeight="1">
      <c r="B97" s="3"/>
      <c r="C97" s="4"/>
      <c r="G97" s="3"/>
      <c r="H97" s="4"/>
      <c r="L97" s="22"/>
    </row>
    <row r="98" spans="1:12" ht="15.75" customHeight="1">
      <c r="A98" s="92" t="s">
        <v>611</v>
      </c>
      <c r="C98" s="4"/>
      <c r="F98" s="92" t="s">
        <v>613</v>
      </c>
      <c r="H98" s="4"/>
      <c r="L98" s="22"/>
    </row>
    <row r="99" spans="1:12" ht="15.75" customHeight="1">
      <c r="A99" s="92" t="s">
        <v>612</v>
      </c>
      <c r="C99" s="4"/>
      <c r="F99" s="92" t="s">
        <v>614</v>
      </c>
      <c r="H99" s="4"/>
      <c r="L99" s="22"/>
    </row>
    <row r="100" spans="1:12" ht="15.75" customHeight="1">
      <c r="A100" s="92" t="s">
        <v>479</v>
      </c>
      <c r="C100" s="4"/>
      <c r="F100" s="92" t="s">
        <v>485</v>
      </c>
      <c r="H100" s="4"/>
      <c r="L100" s="22"/>
    </row>
    <row r="101" spans="1:12" ht="6" customHeight="1">
      <c r="A101" s="92"/>
      <c r="C101" s="4"/>
      <c r="F101" s="92"/>
      <c r="H101" s="4"/>
      <c r="L101" s="22"/>
    </row>
    <row r="102" spans="1:12" ht="15.75" customHeight="1">
      <c r="A102" s="4" t="s">
        <v>1416</v>
      </c>
      <c r="B102" s="3">
        <f>+(1/12)*B8*(E7-H5)^3</f>
        <v>0.0005624999999999995</v>
      </c>
      <c r="C102" s="4" t="s">
        <v>110</v>
      </c>
      <c r="F102" s="4" t="s">
        <v>486</v>
      </c>
      <c r="G102" s="3">
        <f>+(1/12)*B8*(E7)^3</f>
        <v>0.036</v>
      </c>
      <c r="H102" s="4" t="s">
        <v>110</v>
      </c>
      <c r="L102" s="22"/>
    </row>
    <row r="103" spans="3:12" ht="6" customHeight="1">
      <c r="C103" s="4"/>
      <c r="H103" s="4"/>
      <c r="L103" s="22"/>
    </row>
    <row r="104" spans="1:12" ht="15.75" customHeight="1">
      <c r="A104" s="4" t="s">
        <v>476</v>
      </c>
      <c r="F104" s="4" t="s">
        <v>487</v>
      </c>
      <c r="L104" s="22"/>
    </row>
    <row r="105" spans="1:12" ht="6" customHeight="1">
      <c r="A105" s="6"/>
      <c r="C105" s="4"/>
      <c r="E105" s="3"/>
      <c r="F105" s="6"/>
      <c r="H105" s="4"/>
      <c r="L105" s="22"/>
    </row>
    <row r="106" spans="1:12" ht="15.75" customHeight="1">
      <c r="A106" s="2" t="s">
        <v>1417</v>
      </c>
      <c r="B106" s="3">
        <f>+B102/B96</f>
        <v>0.0014591182351475808</v>
      </c>
      <c r="C106" s="4" t="s">
        <v>699</v>
      </c>
      <c r="F106" s="2" t="s">
        <v>488</v>
      </c>
      <c r="G106" s="3">
        <f>+G102/G96</f>
        <v>0.020007599088109423</v>
      </c>
      <c r="H106" s="4" t="s">
        <v>699</v>
      </c>
      <c r="L106" s="22"/>
    </row>
    <row r="107" spans="2:12" ht="6" customHeight="1">
      <c r="B107" s="2"/>
      <c r="C107" s="3"/>
      <c r="D107" s="4"/>
      <c r="F107" s="4"/>
      <c r="L107" s="22"/>
    </row>
    <row r="108" spans="1:12" ht="15.75" customHeight="1">
      <c r="A108" s="92" t="s">
        <v>472</v>
      </c>
      <c r="C108" s="3"/>
      <c r="D108" s="4"/>
      <c r="F108" s="92" t="s">
        <v>472</v>
      </c>
      <c r="L108" s="22"/>
    </row>
    <row r="109" spans="1:12" ht="6" customHeight="1">
      <c r="A109" s="92"/>
      <c r="F109" s="92"/>
      <c r="L109" s="22"/>
    </row>
    <row r="110" spans="1:12" ht="15.75" customHeight="1">
      <c r="A110" s="100" t="s">
        <v>473</v>
      </c>
      <c r="C110" s="15">
        <f>B91+B106</f>
        <v>1.286481781124666</v>
      </c>
      <c r="D110" s="14" t="s">
        <v>699</v>
      </c>
      <c r="F110" s="100" t="s">
        <v>489</v>
      </c>
      <c r="I110" s="3">
        <f>+G91+G106</f>
        <v>1.5194378839456808</v>
      </c>
      <c r="J110" s="4" t="s">
        <v>699</v>
      </c>
      <c r="L110" s="22"/>
    </row>
    <row r="111" spans="1:12" ht="6" customHeight="1">
      <c r="A111" s="4"/>
      <c r="L111" s="22"/>
    </row>
    <row r="112" spans="1:12" ht="15.75" customHeight="1">
      <c r="A112" s="4" t="s">
        <v>616</v>
      </c>
      <c r="L112" s="22"/>
    </row>
    <row r="113" spans="1:12" ht="15.75" customHeight="1">
      <c r="A113" s="4" t="s">
        <v>617</v>
      </c>
      <c r="L113" s="22"/>
    </row>
    <row r="114" spans="1:12" ht="15.75" customHeight="1">
      <c r="A114" s="4" t="s">
        <v>618</v>
      </c>
      <c r="L114" s="22"/>
    </row>
    <row r="115" spans="1:12" ht="6.75" customHeight="1">
      <c r="A115" s="4"/>
      <c r="L115" s="22"/>
    </row>
    <row r="116" spans="1:12" ht="15.75" customHeight="1">
      <c r="A116" s="4"/>
      <c r="B116" s="14" t="s">
        <v>2350</v>
      </c>
      <c r="L116" s="22"/>
    </row>
    <row r="117" spans="1:12" ht="6.75" customHeight="1">
      <c r="A117" s="4"/>
      <c r="L117" s="22"/>
    </row>
    <row r="118" spans="1:12" ht="15.75" customHeight="1">
      <c r="A118" s="4" t="s">
        <v>615</v>
      </c>
      <c r="L118" s="22"/>
    </row>
    <row r="119" spans="1:12" ht="6.75" customHeight="1">
      <c r="A119" s="4"/>
      <c r="L119" s="22"/>
    </row>
    <row r="120" spans="1:12" ht="15.75" customHeight="1">
      <c r="A120" s="1" t="s">
        <v>2352</v>
      </c>
      <c r="B120" s="3">
        <f>+H5/2</f>
        <v>0.225</v>
      </c>
      <c r="C120" s="22" t="s">
        <v>699</v>
      </c>
      <c r="E120" s="4" t="s">
        <v>2353</v>
      </c>
      <c r="G120" s="3">
        <f>+E7/2+G106</f>
        <v>0.3200075990881094</v>
      </c>
      <c r="H120" s="22" t="s">
        <v>699</v>
      </c>
      <c r="L120" s="22"/>
    </row>
    <row r="121" spans="1:12" ht="15.75" customHeight="1">
      <c r="A121" s="4"/>
      <c r="E121" s="4" t="s">
        <v>2351</v>
      </c>
      <c r="G121" s="3">
        <f>+H5+(E7-H5)/2+B106</f>
        <v>0.5264591182351476</v>
      </c>
      <c r="H121" s="22" t="s">
        <v>699</v>
      </c>
      <c r="L121" s="22"/>
    </row>
    <row r="122" spans="1:12" ht="6.75" customHeight="1">
      <c r="A122" s="4"/>
      <c r="L122" s="22"/>
    </row>
    <row r="123" spans="1:12" ht="15.75" customHeight="1">
      <c r="A123" s="4" t="s">
        <v>999</v>
      </c>
      <c r="L123" s="22"/>
    </row>
    <row r="124" spans="1:6" ht="6" customHeight="1">
      <c r="A124" s="2"/>
      <c r="B124" s="3"/>
      <c r="C124" s="4"/>
      <c r="D124" s="16"/>
      <c r="E124" s="15"/>
      <c r="F124" s="14"/>
    </row>
    <row r="125" spans="2:7" ht="15.75" customHeight="1">
      <c r="B125" s="9" t="s">
        <v>2354</v>
      </c>
      <c r="C125" s="10"/>
      <c r="D125" s="10"/>
      <c r="E125" s="10"/>
      <c r="F125" s="8">
        <f>+(B55*B120+B76*G121-H76*G120)/B81</f>
        <v>0.11164200689731928</v>
      </c>
      <c r="G125" s="9" t="s">
        <v>699</v>
      </c>
    </row>
    <row r="126" spans="1:6" ht="6" customHeight="1">
      <c r="A126" s="2"/>
      <c r="B126" s="3"/>
      <c r="C126" s="4"/>
      <c r="D126" s="16"/>
      <c r="E126" s="15"/>
      <c r="F126" s="14"/>
    </row>
    <row r="127" spans="1:12" ht="6" customHeight="1">
      <c r="A127" s="89"/>
      <c r="B127" s="90"/>
      <c r="C127" s="88"/>
      <c r="D127" s="89"/>
      <c r="E127" s="90"/>
      <c r="F127" s="88"/>
      <c r="G127" s="87"/>
      <c r="H127" s="87"/>
      <c r="I127" s="87"/>
      <c r="J127" s="87"/>
      <c r="K127" s="87"/>
      <c r="L127" s="87"/>
    </row>
    <row r="128" spans="1:6" ht="6" customHeight="1">
      <c r="A128" s="2"/>
      <c r="B128" s="3"/>
      <c r="C128" s="4"/>
      <c r="D128" s="16"/>
      <c r="E128" s="15"/>
      <c r="F128" s="14"/>
    </row>
    <row r="129" ht="15.75" customHeight="1">
      <c r="A129" s="85" t="s">
        <v>2519</v>
      </c>
    </row>
    <row r="130" ht="6" customHeight="1"/>
    <row r="131" ht="15.75" customHeight="1">
      <c r="A131" s="5" t="s">
        <v>112</v>
      </c>
    </row>
    <row r="132" ht="6" customHeight="1"/>
    <row r="133" spans="1:9" ht="15.75" customHeight="1">
      <c r="A133" s="2" t="s">
        <v>698</v>
      </c>
      <c r="B133" s="1">
        <v>8875</v>
      </c>
      <c r="C133" s="4" t="s">
        <v>713</v>
      </c>
      <c r="D133" s="1" t="s">
        <v>714</v>
      </c>
      <c r="E133" s="3">
        <v>3</v>
      </c>
      <c r="F133" s="4" t="s">
        <v>699</v>
      </c>
      <c r="G133" s="1" t="s">
        <v>2515</v>
      </c>
      <c r="H133" s="3">
        <v>0.2</v>
      </c>
      <c r="I133" s="4" t="s">
        <v>699</v>
      </c>
    </row>
    <row r="134" spans="1:9" ht="15.75" customHeight="1">
      <c r="A134" s="1" t="s">
        <v>2520</v>
      </c>
      <c r="B134" s="1">
        <v>10000</v>
      </c>
      <c r="C134" s="1" t="s">
        <v>704</v>
      </c>
      <c r="D134" s="1" t="s">
        <v>2284</v>
      </c>
      <c r="E134" s="3">
        <v>1.5</v>
      </c>
      <c r="F134" s="4" t="s">
        <v>699</v>
      </c>
      <c r="G134" s="1" t="s">
        <v>2516</v>
      </c>
      <c r="H134" s="3">
        <v>0.6</v>
      </c>
      <c r="I134" s="4" t="s">
        <v>699</v>
      </c>
    </row>
    <row r="135" spans="1:6" ht="15.75" customHeight="1">
      <c r="A135" s="1" t="s">
        <v>2295</v>
      </c>
      <c r="B135" s="3">
        <v>1.6</v>
      </c>
      <c r="C135" s="4" t="s">
        <v>699</v>
      </c>
      <c r="F135" s="4"/>
    </row>
    <row r="136" spans="3:6" ht="6" customHeight="1">
      <c r="C136" s="4"/>
      <c r="F136" s="4"/>
    </row>
    <row r="137" spans="1:6" ht="15.75" customHeight="1">
      <c r="A137" s="5" t="s">
        <v>2523</v>
      </c>
      <c r="C137" s="4"/>
      <c r="F137" s="4"/>
    </row>
    <row r="138" spans="3:6" ht="6" customHeight="1">
      <c r="C138" s="4"/>
      <c r="F138" s="4"/>
    </row>
    <row r="139" spans="1:6" ht="15.75" customHeight="1">
      <c r="A139" s="5" t="s">
        <v>113</v>
      </c>
      <c r="C139" s="4"/>
      <c r="F139" s="4"/>
    </row>
    <row r="140" spans="3:6" ht="6" customHeight="1">
      <c r="C140" s="4"/>
      <c r="F140" s="4"/>
    </row>
    <row r="141" spans="1:9" ht="15.75" customHeight="1">
      <c r="A141" s="1" t="s">
        <v>2521</v>
      </c>
      <c r="B141" s="1">
        <f>+B134*E133/E134</f>
        <v>20000</v>
      </c>
      <c r="C141" s="4" t="s">
        <v>704</v>
      </c>
      <c r="D141" s="1" t="s">
        <v>1759</v>
      </c>
      <c r="E141" s="6">
        <f>+B141/(PI()*(H133^2)/4)</f>
        <v>636619.7723675813</v>
      </c>
      <c r="F141" s="4" t="s">
        <v>700</v>
      </c>
      <c r="G141" s="1" t="s">
        <v>1427</v>
      </c>
      <c r="H141" s="3">
        <f>+E141/$B$133</f>
        <v>71.73180533719226</v>
      </c>
      <c r="I141" s="4" t="s">
        <v>699</v>
      </c>
    </row>
    <row r="142" spans="3:9" ht="15.75" customHeight="1">
      <c r="C142" s="4"/>
      <c r="D142" s="1" t="s">
        <v>1426</v>
      </c>
      <c r="E142" s="6">
        <f>+E141-B133*B135</f>
        <v>622419.7723675813</v>
      </c>
      <c r="F142" s="4" t="s">
        <v>700</v>
      </c>
      <c r="G142" s="1" t="s">
        <v>1428</v>
      </c>
      <c r="H142" s="3">
        <f>+E142/$B$133</f>
        <v>70.13180533719226</v>
      </c>
      <c r="I142" s="4" t="s">
        <v>699</v>
      </c>
    </row>
    <row r="143" spans="3:9" ht="6" customHeight="1">
      <c r="C143" s="4"/>
      <c r="E143" s="6"/>
      <c r="F143" s="4"/>
      <c r="H143" s="3"/>
      <c r="I143" s="4"/>
    </row>
    <row r="144" spans="1:9" ht="15.75" customHeight="1">
      <c r="A144" s="10" t="s">
        <v>2522</v>
      </c>
      <c r="B144" s="11">
        <f>+E142*PI()*(H134^2)/4</f>
        <v>175985.04458871222</v>
      </c>
      <c r="C144" s="23" t="s">
        <v>704</v>
      </c>
      <c r="E144" s="6"/>
      <c r="F144" s="4"/>
      <c r="H144" s="6"/>
      <c r="I144" s="4"/>
    </row>
    <row r="145" ht="6" customHeight="1"/>
    <row r="146" spans="1:12" ht="6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3:6" ht="6" customHeight="1">
      <c r="C147" s="4"/>
      <c r="F147" s="4"/>
    </row>
    <row r="148" spans="1:12" ht="15.75" customHeight="1">
      <c r="A148" s="85" t="s">
        <v>2524</v>
      </c>
      <c r="B148" s="12"/>
      <c r="C148" s="14"/>
      <c r="D148" s="77"/>
      <c r="E148" s="12"/>
      <c r="F148" s="12"/>
      <c r="G148" s="12"/>
      <c r="H148" s="12"/>
      <c r="I148" s="12"/>
      <c r="J148" s="12"/>
      <c r="K148" s="12"/>
      <c r="L148" s="12"/>
    </row>
    <row r="149" spans="3:6" ht="6" customHeight="1">
      <c r="C149" s="4"/>
      <c r="F149" s="4"/>
    </row>
    <row r="150" spans="1:6" ht="15.75" customHeight="1">
      <c r="A150" s="5" t="s">
        <v>112</v>
      </c>
      <c r="C150" s="4"/>
      <c r="F150" s="4"/>
    </row>
    <row r="151" spans="3:6" ht="6" customHeight="1">
      <c r="C151" s="4"/>
      <c r="F151" s="4"/>
    </row>
    <row r="152" spans="1:7" ht="15.75" customHeight="1">
      <c r="A152" s="2" t="s">
        <v>698</v>
      </c>
      <c r="B152" s="1">
        <v>9806</v>
      </c>
      <c r="C152" s="4" t="s">
        <v>713</v>
      </c>
      <c r="E152" s="1" t="s">
        <v>711</v>
      </c>
      <c r="F152" s="3">
        <v>3</v>
      </c>
      <c r="G152" s="4" t="s">
        <v>699</v>
      </c>
    </row>
    <row r="153" spans="1:10" ht="15.75" customHeight="1">
      <c r="A153" s="1" t="s">
        <v>2295</v>
      </c>
      <c r="B153" s="3">
        <v>1.5</v>
      </c>
      <c r="C153" s="4" t="s">
        <v>699</v>
      </c>
      <c r="E153" s="2" t="s">
        <v>2525</v>
      </c>
      <c r="F153" s="1">
        <v>30</v>
      </c>
      <c r="G153" s="1" t="s">
        <v>706</v>
      </c>
      <c r="J153" s="2"/>
    </row>
    <row r="154" spans="1:10" ht="6" customHeight="1">
      <c r="A154" s="2"/>
      <c r="C154" s="4"/>
      <c r="E154" s="3"/>
      <c r="F154" s="4"/>
      <c r="H154" s="3"/>
      <c r="I154" s="4"/>
      <c r="J154" s="2"/>
    </row>
    <row r="155" spans="1:10" ht="15.75" customHeight="1">
      <c r="A155" s="5" t="s">
        <v>2532</v>
      </c>
      <c r="C155" s="4"/>
      <c r="E155" s="3"/>
      <c r="F155" s="4"/>
      <c r="H155" s="3"/>
      <c r="I155" s="4"/>
      <c r="J155" s="2"/>
    </row>
    <row r="156" spans="1:10" ht="6" customHeight="1">
      <c r="A156" s="5"/>
      <c r="C156" s="4"/>
      <c r="E156" s="3"/>
      <c r="F156" s="4"/>
      <c r="H156" s="3"/>
      <c r="I156" s="4"/>
      <c r="J156" s="2"/>
    </row>
    <row r="157" spans="1:10" ht="15.75" customHeight="1">
      <c r="A157" s="5" t="s">
        <v>113</v>
      </c>
      <c r="C157" s="4"/>
      <c r="E157" s="3"/>
      <c r="F157" s="4"/>
      <c r="H157" s="3"/>
      <c r="I157" s="4"/>
      <c r="J157" s="2"/>
    </row>
    <row r="158" spans="3:6" ht="6" customHeight="1">
      <c r="C158" s="4"/>
      <c r="F158" s="4"/>
    </row>
    <row r="159" spans="1:9" ht="15.75" customHeight="1">
      <c r="A159" s="1" t="s">
        <v>105</v>
      </c>
      <c r="B159" s="3">
        <f>+B153/2</f>
        <v>0.75</v>
      </c>
      <c r="C159" s="4" t="s">
        <v>699</v>
      </c>
      <c r="D159" s="1" t="s">
        <v>2302</v>
      </c>
      <c r="E159" s="6">
        <f>+B152*B159</f>
        <v>7354.5</v>
      </c>
      <c r="F159" s="4" t="s">
        <v>700</v>
      </c>
      <c r="G159" s="1" t="s">
        <v>2298</v>
      </c>
      <c r="H159" s="3">
        <f>+B153/COS(RADIANS(F153))*F152</f>
        <v>5.196152422706632</v>
      </c>
      <c r="I159" s="4" t="s">
        <v>108</v>
      </c>
    </row>
    <row r="160" spans="1:9" ht="15.75" customHeight="1">
      <c r="A160" s="10" t="s">
        <v>2526</v>
      </c>
      <c r="B160" s="11">
        <f>+E159*H159</f>
        <v>38215.102992795924</v>
      </c>
      <c r="C160" s="9" t="s">
        <v>699</v>
      </c>
      <c r="D160" s="10" t="s">
        <v>2527</v>
      </c>
      <c r="E160" s="11">
        <f>+B160*COS(RADIANS(F153))</f>
        <v>33095.25</v>
      </c>
      <c r="F160" s="9" t="s">
        <v>704</v>
      </c>
      <c r="G160" s="10" t="s">
        <v>2528</v>
      </c>
      <c r="H160" s="11">
        <f>+B160*SIN(RADIANS(F153))</f>
        <v>19107.55149639796</v>
      </c>
      <c r="I160" s="9" t="s">
        <v>704</v>
      </c>
    </row>
    <row r="161" spans="3:6" ht="6" customHeight="1">
      <c r="C161" s="4"/>
      <c r="F161" s="4"/>
    </row>
    <row r="162" spans="1:9" ht="15.75" customHeight="1">
      <c r="A162" s="1" t="s">
        <v>106</v>
      </c>
      <c r="B162" s="3">
        <f>+B159/COS(RADIANS(F153))</f>
        <v>0.8660254037844386</v>
      </c>
      <c r="C162" s="4" t="s">
        <v>699</v>
      </c>
      <c r="D162" s="1" t="s">
        <v>2296</v>
      </c>
      <c r="E162" s="3">
        <f>+B162*H159</f>
        <v>4.5</v>
      </c>
      <c r="F162" s="4" t="s">
        <v>109</v>
      </c>
      <c r="G162" s="1" t="s">
        <v>2529</v>
      </c>
      <c r="H162" s="3">
        <f>+(1/12)*F152*(B153/COS(RADIANS(F153)))^3</f>
        <v>1.2990381056766578</v>
      </c>
      <c r="I162" s="4" t="s">
        <v>110</v>
      </c>
    </row>
    <row r="163" spans="1:7" ht="15.75" customHeight="1">
      <c r="A163" s="2" t="s">
        <v>2530</v>
      </c>
      <c r="B163" s="3">
        <f>+H162/E162</f>
        <v>0.28867513459481287</v>
      </c>
      <c r="C163" s="4" t="s">
        <v>699</v>
      </c>
      <c r="D163" s="7" t="s">
        <v>2531</v>
      </c>
      <c r="E163" s="8">
        <f>+B162+B163</f>
        <v>1.1547005383792515</v>
      </c>
      <c r="F163" s="9" t="s">
        <v>699</v>
      </c>
      <c r="G163" s="3"/>
    </row>
    <row r="164" spans="3:6" ht="6" customHeight="1">
      <c r="C164" s="4"/>
      <c r="F164" s="92"/>
    </row>
    <row r="165" spans="1:6" ht="15.75" customHeight="1">
      <c r="A165" s="4" t="s">
        <v>2533</v>
      </c>
      <c r="C165" s="4"/>
      <c r="F165" s="4"/>
    </row>
    <row r="166" spans="3:6" ht="6" customHeight="1">
      <c r="C166" s="4"/>
      <c r="F166" s="4"/>
    </row>
    <row r="167" spans="1:10" ht="15.75" customHeight="1">
      <c r="A167" s="9" t="s">
        <v>2534</v>
      </c>
      <c r="B167" s="10"/>
      <c r="C167" s="11">
        <f>0.5*B152*B153*B153*F152</f>
        <v>33095.25</v>
      </c>
      <c r="D167" s="9" t="s">
        <v>704</v>
      </c>
      <c r="F167" s="9" t="s">
        <v>2535</v>
      </c>
      <c r="G167" s="10"/>
      <c r="H167" s="10"/>
      <c r="I167" s="11">
        <f>B152*1/2*B153*TAN(RADIANS(F153))*B153*F152</f>
        <v>19107.55149639796</v>
      </c>
      <c r="J167" s="9" t="s">
        <v>704</v>
      </c>
    </row>
    <row r="168" spans="1:12" ht="6" customHeight="1">
      <c r="A168" s="14"/>
      <c r="B168" s="12"/>
      <c r="C168" s="13"/>
      <c r="D168" s="14"/>
      <c r="E168" s="12"/>
      <c r="F168" s="14"/>
      <c r="G168" s="12"/>
      <c r="H168" s="12"/>
      <c r="I168" s="13"/>
      <c r="J168" s="14"/>
      <c r="K168" s="12"/>
      <c r="L168" s="12"/>
    </row>
    <row r="169" spans="1:12" ht="6" customHeight="1">
      <c r="A169" s="87"/>
      <c r="B169" s="87"/>
      <c r="C169" s="88"/>
      <c r="D169" s="87"/>
      <c r="E169" s="87"/>
      <c r="F169" s="88"/>
      <c r="G169" s="87"/>
      <c r="H169" s="87"/>
      <c r="I169" s="87"/>
      <c r="J169" s="87"/>
      <c r="K169" s="87"/>
      <c r="L169" s="87"/>
    </row>
    <row r="170" spans="3:6" ht="6" customHeight="1">
      <c r="C170" s="4"/>
      <c r="F170" s="4"/>
    </row>
    <row r="171" spans="1:6" ht="15.75" customHeight="1">
      <c r="A171" s="85" t="s">
        <v>2536</v>
      </c>
      <c r="C171" s="4"/>
      <c r="F171" s="4"/>
    </row>
    <row r="172" spans="1:6" ht="6" customHeight="1">
      <c r="A172" s="85"/>
      <c r="C172" s="4"/>
      <c r="F172" s="4"/>
    </row>
    <row r="173" spans="1:6" ht="15.75" customHeight="1">
      <c r="A173" s="5" t="s">
        <v>112</v>
      </c>
      <c r="C173" s="4"/>
      <c r="F173" s="4"/>
    </row>
    <row r="174" spans="1:6" ht="6" customHeight="1">
      <c r="A174" s="85"/>
      <c r="C174" s="4"/>
      <c r="F174" s="4"/>
    </row>
    <row r="175" spans="1:6" ht="15.75" customHeight="1">
      <c r="A175" s="2" t="s">
        <v>698</v>
      </c>
      <c r="B175" s="1">
        <v>9806</v>
      </c>
      <c r="C175" s="4" t="s">
        <v>713</v>
      </c>
      <c r="D175" s="1" t="s">
        <v>2297</v>
      </c>
      <c r="E175" s="3">
        <v>1.2</v>
      </c>
      <c r="F175" s="4" t="s">
        <v>699</v>
      </c>
    </row>
    <row r="176" spans="1:10" ht="15.75" customHeight="1">
      <c r="A176" s="1" t="s">
        <v>2295</v>
      </c>
      <c r="B176" s="3">
        <v>2</v>
      </c>
      <c r="C176" s="4" t="s">
        <v>699</v>
      </c>
      <c r="D176" s="2" t="s">
        <v>2525</v>
      </c>
      <c r="E176" s="1">
        <v>45</v>
      </c>
      <c r="F176" s="1" t="s">
        <v>706</v>
      </c>
      <c r="H176" s="3"/>
      <c r="I176" s="4"/>
      <c r="J176" s="2"/>
    </row>
    <row r="177" spans="1:10" ht="6" customHeight="1">
      <c r="A177" s="2"/>
      <c r="C177" s="4"/>
      <c r="E177" s="3"/>
      <c r="F177" s="4"/>
      <c r="H177" s="3"/>
      <c r="I177" s="4"/>
      <c r="J177" s="2"/>
    </row>
    <row r="178" spans="1:10" ht="15.75" customHeight="1">
      <c r="A178" s="5" t="s">
        <v>2543</v>
      </c>
      <c r="C178" s="4"/>
      <c r="E178" s="3"/>
      <c r="F178" s="4"/>
      <c r="H178" s="3"/>
      <c r="I178" s="4"/>
      <c r="J178" s="2"/>
    </row>
    <row r="179" spans="1:10" ht="6" customHeight="1">
      <c r="A179" s="5"/>
      <c r="C179" s="4"/>
      <c r="E179" s="3"/>
      <c r="F179" s="4"/>
      <c r="H179" s="3"/>
      <c r="I179" s="4"/>
      <c r="J179" s="2"/>
    </row>
    <row r="180" spans="1:10" ht="15.75" customHeight="1">
      <c r="A180" s="5" t="s">
        <v>113</v>
      </c>
      <c r="C180" s="4"/>
      <c r="E180" s="3"/>
      <c r="F180" s="4"/>
      <c r="H180" s="3"/>
      <c r="I180" s="4"/>
      <c r="J180" s="2"/>
    </row>
    <row r="181" spans="3:6" ht="6" customHeight="1">
      <c r="C181" s="4"/>
      <c r="F181" s="4"/>
    </row>
    <row r="182" spans="1:9" ht="15.75" customHeight="1">
      <c r="A182" s="1" t="s">
        <v>105</v>
      </c>
      <c r="B182" s="3">
        <f>+B176-E175/2*COS(RADIANS(E176))</f>
        <v>1.5757359312880714</v>
      </c>
      <c r="C182" s="4" t="s">
        <v>699</v>
      </c>
      <c r="D182" s="1" t="s">
        <v>2302</v>
      </c>
      <c r="E182" s="6">
        <f>+B175*B182</f>
        <v>15451.666542210829</v>
      </c>
      <c r="F182" s="4" t="s">
        <v>700</v>
      </c>
      <c r="G182" s="1" t="s">
        <v>2298</v>
      </c>
      <c r="H182" s="3">
        <f>+PI()*(E175^2)/4</f>
        <v>1.1309733552923256</v>
      </c>
      <c r="I182" s="4" t="s">
        <v>108</v>
      </c>
    </row>
    <row r="183" spans="1:9" ht="15.75" customHeight="1">
      <c r="A183" s="10" t="s">
        <v>2537</v>
      </c>
      <c r="B183" s="11">
        <f>+E182*H182</f>
        <v>17475.423154102347</v>
      </c>
      <c r="C183" s="9" t="s">
        <v>699</v>
      </c>
      <c r="D183" s="10" t="s">
        <v>2538</v>
      </c>
      <c r="E183" s="11">
        <f>+B183*COS(RADIANS(E176))</f>
        <v>12356.990216370175</v>
      </c>
      <c r="F183" s="9" t="s">
        <v>704</v>
      </c>
      <c r="G183" s="10" t="s">
        <v>2539</v>
      </c>
      <c r="H183" s="11">
        <f>+B183*SIN(RADIANS(E176))</f>
        <v>12356.990216370174</v>
      </c>
      <c r="I183" s="9" t="s">
        <v>704</v>
      </c>
    </row>
    <row r="184" spans="3:6" ht="6" customHeight="1">
      <c r="C184" s="4"/>
      <c r="F184" s="4"/>
    </row>
    <row r="185" spans="1:9" ht="15.75" customHeight="1">
      <c r="A185" s="1" t="s">
        <v>106</v>
      </c>
      <c r="B185" s="3">
        <f>+B182/COS(RADIANS(E176))</f>
        <v>2.2284271247461898</v>
      </c>
      <c r="C185" s="4" t="s">
        <v>699</v>
      </c>
      <c r="D185" s="1" t="s">
        <v>2296</v>
      </c>
      <c r="E185" s="3">
        <f>+B185*H182</f>
        <v>2.520291702298628</v>
      </c>
      <c r="F185" s="4" t="s">
        <v>109</v>
      </c>
      <c r="G185" s="1" t="s">
        <v>2529</v>
      </c>
      <c r="H185" s="3">
        <f>+(1/64)*PI()*E175^4</f>
        <v>0.10178760197630929</v>
      </c>
      <c r="I185" s="4" t="s">
        <v>110</v>
      </c>
    </row>
    <row r="186" spans="1:7" ht="15.75" customHeight="1">
      <c r="A186" s="2" t="s">
        <v>107</v>
      </c>
      <c r="B186" s="3">
        <f>+H185/E185</f>
        <v>0.040387230527114806</v>
      </c>
      <c r="C186" s="4" t="s">
        <v>699</v>
      </c>
      <c r="D186" s="7" t="s">
        <v>2304</v>
      </c>
      <c r="E186" s="8">
        <f>+B185+B186</f>
        <v>2.2688143552733044</v>
      </c>
      <c r="F186" s="9" t="s">
        <v>699</v>
      </c>
      <c r="G186" s="3"/>
    </row>
    <row r="187" spans="3:6" ht="6" customHeight="1">
      <c r="C187" s="4"/>
      <c r="F187" s="4"/>
    </row>
    <row r="188" spans="1:6" ht="15.75" customHeight="1">
      <c r="A188" s="4" t="s">
        <v>2533</v>
      </c>
      <c r="C188" s="4"/>
      <c r="F188" s="4"/>
    </row>
    <row r="189" spans="3:6" ht="6" customHeight="1">
      <c r="C189" s="4"/>
      <c r="F189" s="4"/>
    </row>
    <row r="190" spans="1:10" ht="15.75" customHeight="1">
      <c r="A190" s="1" t="s">
        <v>2540</v>
      </c>
      <c r="B190" s="3">
        <f>+B182</f>
        <v>1.5757359312880714</v>
      </c>
      <c r="C190" s="4" t="s">
        <v>699</v>
      </c>
      <c r="D190" s="1" t="s">
        <v>2541</v>
      </c>
      <c r="E190" s="6">
        <f>+B175*B190</f>
        <v>15451.666542210829</v>
      </c>
      <c r="F190" s="4" t="s">
        <v>700</v>
      </c>
      <c r="G190" s="22" t="s">
        <v>272</v>
      </c>
      <c r="I190" s="3">
        <f>+PI()*E175/2*COS(RADIANS(E176))*E175/2</f>
        <v>0.7997189288685059</v>
      </c>
      <c r="J190" s="4" t="s">
        <v>108</v>
      </c>
    </row>
    <row r="191" spans="1:7" ht="6" customHeight="1">
      <c r="A191" s="12"/>
      <c r="B191" s="12"/>
      <c r="C191" s="14"/>
      <c r="D191" s="12"/>
      <c r="F191" s="4"/>
      <c r="G191" s="4"/>
    </row>
    <row r="192" spans="1:4" ht="15.75" customHeight="1">
      <c r="A192" s="10" t="s">
        <v>2538</v>
      </c>
      <c r="B192" s="11">
        <f>+E190*I190</f>
        <v>12356.990216370175</v>
      </c>
      <c r="C192" s="9" t="s">
        <v>704</v>
      </c>
      <c r="D192" s="14"/>
    </row>
    <row r="193" spans="3:6" ht="6" customHeight="1">
      <c r="C193" s="4"/>
      <c r="F193" s="4"/>
    </row>
    <row r="194" spans="1:8" ht="15.75" customHeight="1">
      <c r="A194" s="9" t="s">
        <v>2542</v>
      </c>
      <c r="B194" s="10"/>
      <c r="C194" s="10"/>
      <c r="D194" s="10"/>
      <c r="E194" s="10"/>
      <c r="F194" s="9"/>
      <c r="G194" s="11">
        <f>+B175*(0.5*E175*COS(RADIANS(E176))*PI()*E175/2*SIN(RADIANS(E176))*E175/2+PI()*E175/2*SIN(RADIANS(E176))*E175/2*(B176-E175*COS(RADIANS(E176))))</f>
        <v>12356.990216370174</v>
      </c>
      <c r="H194" s="9" t="s">
        <v>704</v>
      </c>
    </row>
    <row r="195" spans="3:6" ht="6" customHeight="1">
      <c r="C195" s="4"/>
      <c r="F195" s="4"/>
    </row>
    <row r="196" spans="1:11" ht="6" customHeight="1">
      <c r="A196" s="93"/>
      <c r="B196" s="87"/>
      <c r="C196" s="88"/>
      <c r="D196" s="87"/>
      <c r="E196" s="87"/>
      <c r="F196" s="88"/>
      <c r="G196" s="87"/>
      <c r="H196" s="87"/>
      <c r="I196" s="87"/>
      <c r="J196" s="87"/>
      <c r="K196" s="87"/>
    </row>
    <row r="197" spans="1:6" ht="6" customHeight="1">
      <c r="A197" s="85"/>
      <c r="C197" s="4"/>
      <c r="F197" s="4"/>
    </row>
    <row r="198" spans="1:6" ht="15.75" customHeight="1">
      <c r="A198" s="85" t="s">
        <v>2544</v>
      </c>
      <c r="C198" s="4"/>
      <c r="F198" s="4"/>
    </row>
    <row r="199" spans="3:6" ht="6" customHeight="1">
      <c r="C199" s="4"/>
      <c r="F199" s="4"/>
    </row>
    <row r="200" spans="1:6" ht="15.75" customHeight="1">
      <c r="A200" s="5" t="s">
        <v>112</v>
      </c>
      <c r="C200" s="4"/>
      <c r="F200" s="4"/>
    </row>
    <row r="201" spans="3:6" ht="6" customHeight="1">
      <c r="C201" s="4"/>
      <c r="F201" s="4"/>
    </row>
    <row r="202" spans="1:12" ht="15.75" customHeight="1">
      <c r="A202" s="12" t="s">
        <v>709</v>
      </c>
      <c r="B202" s="15">
        <v>0.9</v>
      </c>
      <c r="C202" s="28" t="s">
        <v>699</v>
      </c>
      <c r="D202" s="12" t="s">
        <v>702</v>
      </c>
      <c r="E202" s="15">
        <v>8</v>
      </c>
      <c r="F202" s="28" t="s">
        <v>699</v>
      </c>
      <c r="G202" s="16" t="s">
        <v>2265</v>
      </c>
      <c r="I202" s="12">
        <f>7800+50*H204</f>
        <v>8750</v>
      </c>
      <c r="J202" s="28" t="s">
        <v>713</v>
      </c>
      <c r="L202" s="25"/>
    </row>
    <row r="203" spans="1:12" ht="15.75" customHeight="1">
      <c r="A203" s="29" t="s">
        <v>710</v>
      </c>
      <c r="B203" s="15">
        <v>4</v>
      </c>
      <c r="C203" s="28" t="s">
        <v>699</v>
      </c>
      <c r="D203" s="12" t="s">
        <v>712</v>
      </c>
      <c r="E203" s="15">
        <v>1.3</v>
      </c>
      <c r="F203" s="28" t="s">
        <v>699</v>
      </c>
      <c r="G203" s="12" t="s">
        <v>2266</v>
      </c>
      <c r="I203" s="15">
        <f>5+H205/20</f>
        <v>5.9</v>
      </c>
      <c r="J203" s="28" t="s">
        <v>699</v>
      </c>
      <c r="L203" s="12"/>
    </row>
    <row r="204" spans="1:8" ht="15.75" customHeight="1">
      <c r="A204" s="12" t="s">
        <v>711</v>
      </c>
      <c r="B204" s="15">
        <v>10</v>
      </c>
      <c r="C204" s="28" t="s">
        <v>699</v>
      </c>
      <c r="D204" s="16" t="s">
        <v>715</v>
      </c>
      <c r="E204" s="12">
        <v>133362</v>
      </c>
      <c r="F204" s="28" t="s">
        <v>713</v>
      </c>
      <c r="G204" s="30" t="s">
        <v>716</v>
      </c>
      <c r="H204" s="31">
        <v>19</v>
      </c>
    </row>
    <row r="205" spans="1:10" ht="15.75" customHeight="1">
      <c r="A205" s="12" t="s">
        <v>714</v>
      </c>
      <c r="B205" s="15">
        <v>1</v>
      </c>
      <c r="C205" s="28" t="s">
        <v>699</v>
      </c>
      <c r="G205" s="30" t="s">
        <v>717</v>
      </c>
      <c r="H205" s="31">
        <v>18</v>
      </c>
      <c r="I205" s="78"/>
      <c r="J205" s="79"/>
    </row>
    <row r="206" spans="1:10" ht="15.75" customHeight="1">
      <c r="A206" s="12"/>
      <c r="B206" s="15"/>
      <c r="C206" s="28"/>
      <c r="I206" s="78"/>
      <c r="J206" s="79"/>
    </row>
    <row r="207" spans="1:11" ht="15.75" customHeight="1">
      <c r="A207" s="5" t="s">
        <v>2545</v>
      </c>
      <c r="K207" s="12"/>
    </row>
    <row r="208" spans="1:11" ht="15.75" customHeight="1">
      <c r="A208" s="4" t="s">
        <v>2546</v>
      </c>
      <c r="B208" s="27"/>
      <c r="C208" s="27"/>
      <c r="D208" s="27"/>
      <c r="E208" s="27"/>
      <c r="F208" s="27"/>
      <c r="G208" s="27"/>
      <c r="H208" s="13"/>
      <c r="K208" s="12"/>
    </row>
    <row r="209" spans="1:11" ht="6" customHeight="1">
      <c r="A209" s="4"/>
      <c r="B209" s="27"/>
      <c r="C209" s="27"/>
      <c r="D209" s="27"/>
      <c r="E209" s="27"/>
      <c r="F209" s="27"/>
      <c r="G209" s="27"/>
      <c r="H209" s="13"/>
      <c r="K209" s="12"/>
    </row>
    <row r="210" spans="1:11" ht="15.75" customHeight="1">
      <c r="A210" s="5" t="s">
        <v>113</v>
      </c>
      <c r="B210" s="27"/>
      <c r="C210" s="27"/>
      <c r="D210" s="27"/>
      <c r="E210" s="27"/>
      <c r="F210" s="27"/>
      <c r="G210" s="27"/>
      <c r="H210" s="13"/>
      <c r="K210" s="12"/>
    </row>
    <row r="211" spans="1:11" ht="6" customHeight="1">
      <c r="A211" s="5"/>
      <c r="B211" s="27"/>
      <c r="C211" s="27"/>
      <c r="D211" s="27"/>
      <c r="E211" s="27"/>
      <c r="F211" s="27"/>
      <c r="G211" s="27"/>
      <c r="H211" s="13"/>
      <c r="K211" s="12"/>
    </row>
    <row r="212" spans="1:11" ht="15.75" customHeight="1">
      <c r="A212" s="32" t="s">
        <v>2555</v>
      </c>
      <c r="B212" s="33"/>
      <c r="C212" s="33"/>
      <c r="D212" s="33"/>
      <c r="E212" s="33"/>
      <c r="F212" s="33"/>
      <c r="G212" s="33"/>
      <c r="H212" s="13"/>
      <c r="K212" s="12"/>
    </row>
    <row r="213" spans="1:11" ht="6" customHeight="1">
      <c r="A213" s="33"/>
      <c r="B213" s="33"/>
      <c r="C213" s="33"/>
      <c r="D213" s="33"/>
      <c r="E213" s="33"/>
      <c r="F213" s="33"/>
      <c r="G213" s="33"/>
      <c r="H213" s="12"/>
      <c r="I213" s="12"/>
      <c r="J213" s="12"/>
      <c r="K213" s="12"/>
    </row>
    <row r="214" spans="1:11" ht="15.75" customHeight="1">
      <c r="A214" s="70" t="s">
        <v>2270</v>
      </c>
      <c r="B214" s="35">
        <f>+E203+B202*10^5/I202</f>
        <v>11.585714285714287</v>
      </c>
      <c r="C214" s="36" t="s">
        <v>699</v>
      </c>
      <c r="E214" s="34" t="s">
        <v>2267</v>
      </c>
      <c r="G214" s="37">
        <f>+I202*(B214-(E203+I203))</f>
        <v>38375.000000000015</v>
      </c>
      <c r="H214" s="36" t="s">
        <v>700</v>
      </c>
      <c r="J214" s="12"/>
      <c r="K214" s="12"/>
    </row>
    <row r="215" spans="1:11" ht="6" customHeight="1">
      <c r="A215" s="70"/>
      <c r="B215" s="35"/>
      <c r="C215" s="36"/>
      <c r="E215" s="36"/>
      <c r="F215" s="34"/>
      <c r="G215" s="34"/>
      <c r="H215" s="36"/>
      <c r="I215" s="13"/>
      <c r="J215" s="12"/>
      <c r="K215" s="12"/>
    </row>
    <row r="216" spans="1:11" ht="16.5" customHeight="1">
      <c r="A216" s="70" t="s">
        <v>2547</v>
      </c>
      <c r="B216" s="35">
        <f>+B214-E203-I203/2-I203/4</f>
        <v>5.860714285714286</v>
      </c>
      <c r="C216" s="36" t="s">
        <v>699</v>
      </c>
      <c r="E216" s="38"/>
      <c r="F216" s="34" t="s">
        <v>2548</v>
      </c>
      <c r="G216" s="37">
        <f>+I202*B216</f>
        <v>51281.25</v>
      </c>
      <c r="H216" s="36" t="s">
        <v>700</v>
      </c>
      <c r="J216" s="12"/>
      <c r="K216" s="12"/>
    </row>
    <row r="217" spans="1:11" ht="6" customHeight="1">
      <c r="A217" s="70"/>
      <c r="C217" s="35"/>
      <c r="D217" s="36"/>
      <c r="E217" s="36"/>
      <c r="F217" s="36"/>
      <c r="G217" s="36"/>
      <c r="H217" s="12"/>
      <c r="J217" s="12"/>
      <c r="K217" s="12"/>
    </row>
    <row r="218" spans="1:11" ht="15.75" customHeight="1">
      <c r="A218" s="70" t="s">
        <v>718</v>
      </c>
      <c r="B218" s="35">
        <f>+I203/2*B204</f>
        <v>29.5</v>
      </c>
      <c r="C218" s="36" t="s">
        <v>719</v>
      </c>
      <c r="E218" s="33"/>
      <c r="F218" s="39" t="s">
        <v>2549</v>
      </c>
      <c r="G218" s="37">
        <f>+G216*B218</f>
        <v>1512796.875</v>
      </c>
      <c r="H218" s="36" t="s">
        <v>704</v>
      </c>
      <c r="J218" s="12"/>
      <c r="K218" s="12"/>
    </row>
    <row r="219" spans="1:11" ht="6" customHeight="1">
      <c r="A219" s="70"/>
      <c r="C219" s="35"/>
      <c r="D219" s="36"/>
      <c r="E219" s="33"/>
      <c r="F219" s="39"/>
      <c r="G219" s="36"/>
      <c r="H219" s="12"/>
      <c r="J219" s="12"/>
      <c r="K219" s="12"/>
    </row>
    <row r="220" spans="1:11" ht="15.75" customHeight="1">
      <c r="A220" s="34" t="s">
        <v>2550</v>
      </c>
      <c r="B220" s="35">
        <f>+B216</f>
        <v>5.860714285714286</v>
      </c>
      <c r="C220" s="36" t="s">
        <v>699</v>
      </c>
      <c r="E220" s="33"/>
      <c r="F220" s="39" t="s">
        <v>2551</v>
      </c>
      <c r="G220" s="35">
        <f>+B220*B218</f>
        <v>172.89107142857142</v>
      </c>
      <c r="H220" s="36" t="s">
        <v>720</v>
      </c>
      <c r="J220" s="12"/>
      <c r="K220" s="12"/>
    </row>
    <row r="221" spans="1:11" ht="6" customHeight="1">
      <c r="A221" s="70"/>
      <c r="C221" s="35"/>
      <c r="D221" s="36"/>
      <c r="E221" s="33"/>
      <c r="F221" s="39"/>
      <c r="G221" s="36"/>
      <c r="H221" s="12"/>
      <c r="J221" s="12"/>
      <c r="K221" s="12"/>
    </row>
    <row r="222" spans="1:11" ht="15.75" customHeight="1">
      <c r="A222" s="70" t="s">
        <v>2552</v>
      </c>
      <c r="B222" s="35">
        <f>1/12*(I203/2)^3*B204</f>
        <v>21.39364583333333</v>
      </c>
      <c r="C222" s="36" t="s">
        <v>721</v>
      </c>
      <c r="E222" s="33"/>
      <c r="F222" s="40" t="s">
        <v>2553</v>
      </c>
      <c r="G222" s="41">
        <f>+B222/G220</f>
        <v>0.12374060532195814</v>
      </c>
      <c r="H222" s="42" t="s">
        <v>699</v>
      </c>
      <c r="J222" s="12"/>
      <c r="K222" s="12"/>
    </row>
    <row r="223" spans="1:11" ht="6" customHeight="1">
      <c r="A223" s="70"/>
      <c r="C223" s="35"/>
      <c r="D223" s="36"/>
      <c r="E223" s="43"/>
      <c r="F223" s="43"/>
      <c r="G223" s="43"/>
      <c r="H223" s="12"/>
      <c r="I223" s="12"/>
      <c r="J223" s="12"/>
      <c r="K223" s="12"/>
    </row>
    <row r="224" spans="1:11" ht="15.75" customHeight="1">
      <c r="A224" s="70" t="s">
        <v>2554</v>
      </c>
      <c r="B224" s="41">
        <f>+I203/4+G222</f>
        <v>1.5987406053219582</v>
      </c>
      <c r="C224" s="42" t="s">
        <v>699</v>
      </c>
      <c r="E224" s="44"/>
      <c r="F224" s="45"/>
      <c r="G224" s="45"/>
      <c r="H224" s="15"/>
      <c r="I224" s="14"/>
      <c r="J224" s="12"/>
      <c r="K224" s="12"/>
    </row>
    <row r="225" spans="1:11" ht="6" customHeight="1">
      <c r="A225" s="12"/>
      <c r="B225" s="3"/>
      <c r="C225" s="4"/>
      <c r="D225" s="27"/>
      <c r="E225"/>
      <c r="F225"/>
      <c r="G225"/>
      <c r="H225" s="12"/>
      <c r="I225" s="12"/>
      <c r="J225" s="12"/>
      <c r="K225" s="12"/>
    </row>
    <row r="226" spans="1:11" ht="15.75" customHeight="1">
      <c r="A226" s="46" t="s">
        <v>2556</v>
      </c>
      <c r="B226" s="3"/>
      <c r="C226" s="4"/>
      <c r="D226" s="27"/>
      <c r="E226"/>
      <c r="F226"/>
      <c r="G226"/>
      <c r="H226" s="12"/>
      <c r="I226" s="12"/>
      <c r="J226" s="12"/>
      <c r="K226" s="12"/>
    </row>
    <row r="227" spans="1:11" ht="6" customHeight="1">
      <c r="A227" s="12"/>
      <c r="B227" s="3"/>
      <c r="C227" s="4"/>
      <c r="D227" s="27"/>
      <c r="E227"/>
      <c r="F227"/>
      <c r="G227"/>
      <c r="H227" s="12"/>
      <c r="I227" s="12"/>
      <c r="J227" s="12"/>
      <c r="K227" s="24"/>
    </row>
    <row r="228" spans="1:11" ht="15.75" customHeight="1">
      <c r="A228" s="71" t="s">
        <v>2271</v>
      </c>
      <c r="C228" s="48">
        <f>+G214</f>
        <v>38375.000000000015</v>
      </c>
      <c r="D228" s="49" t="s">
        <v>700</v>
      </c>
      <c r="F228" s="47" t="s">
        <v>722</v>
      </c>
      <c r="G228" s="51">
        <f>+B203*B204</f>
        <v>40</v>
      </c>
      <c r="H228" s="49" t="s">
        <v>723</v>
      </c>
      <c r="I228" s="12"/>
      <c r="J228" s="12"/>
      <c r="K228" s="12"/>
    </row>
    <row r="229" spans="1:11" ht="6" customHeight="1">
      <c r="A229" s="47"/>
      <c r="B229" s="52"/>
      <c r="C229" s="53"/>
      <c r="D229" s="50"/>
      <c r="E229" s="54"/>
      <c r="F229" s="54"/>
      <c r="G229" s="54"/>
      <c r="H229" s="15"/>
      <c r="I229" s="12"/>
      <c r="J229" s="15"/>
      <c r="K229" s="12"/>
    </row>
    <row r="230" spans="1:11" ht="15.75" customHeight="1">
      <c r="A230" s="72" t="s">
        <v>724</v>
      </c>
      <c r="C230" s="48">
        <f>+C228*G228</f>
        <v>1535000.0000000005</v>
      </c>
      <c r="D230" s="49" t="s">
        <v>704</v>
      </c>
      <c r="F230" s="47" t="s">
        <v>725</v>
      </c>
      <c r="G230" s="51">
        <f>+B203/2</f>
        <v>2</v>
      </c>
      <c r="H230" s="49" t="s">
        <v>699</v>
      </c>
      <c r="I230" s="14"/>
      <c r="J230" s="12"/>
      <c r="K230" s="12"/>
    </row>
    <row r="231" spans="1:11" ht="6" customHeight="1">
      <c r="A231" s="12"/>
      <c r="B231" s="3"/>
      <c r="C231" s="4"/>
      <c r="D231" s="27"/>
      <c r="E231"/>
      <c r="F231"/>
      <c r="G231"/>
      <c r="H231" s="12"/>
      <c r="I231" s="14"/>
      <c r="J231" s="12"/>
      <c r="K231" s="12"/>
    </row>
    <row r="232" spans="1:11" ht="15.75" customHeight="1">
      <c r="A232" s="55" t="s">
        <v>2557</v>
      </c>
      <c r="B232" s="56"/>
      <c r="C232" s="57"/>
      <c r="D232" s="58"/>
      <c r="E232" s="59"/>
      <c r="F232" s="59"/>
      <c r="G232" s="59"/>
      <c r="H232" s="12"/>
      <c r="I232" s="14"/>
      <c r="J232" s="12"/>
      <c r="K232" s="12"/>
    </row>
    <row r="233" spans="1:11" ht="6" customHeight="1">
      <c r="A233" s="60"/>
      <c r="B233" s="56"/>
      <c r="C233" s="57"/>
      <c r="D233" s="58"/>
      <c r="E233" s="59"/>
      <c r="F233" s="59"/>
      <c r="G233" s="59"/>
      <c r="H233" s="12"/>
      <c r="I233" s="14"/>
      <c r="J233" s="12"/>
      <c r="K233" s="12"/>
    </row>
    <row r="234" spans="1:11" ht="15.75" customHeight="1">
      <c r="A234" s="73" t="s">
        <v>726</v>
      </c>
      <c r="C234" s="61">
        <f>+B202*10^5-I202*I203/2</f>
        <v>64187.5</v>
      </c>
      <c r="D234" s="62" t="s">
        <v>700</v>
      </c>
      <c r="E234" s="63"/>
      <c r="F234" s="61"/>
      <c r="G234" s="62"/>
      <c r="H234" s="12"/>
      <c r="I234" s="14"/>
      <c r="J234" s="12"/>
      <c r="K234" s="12"/>
    </row>
    <row r="235" spans="1:11" ht="6" customHeight="1">
      <c r="A235" s="73"/>
      <c r="C235" s="64"/>
      <c r="D235" s="62"/>
      <c r="E235" s="63"/>
      <c r="F235" s="61"/>
      <c r="G235" s="62"/>
      <c r="H235" s="12"/>
      <c r="I235" s="14"/>
      <c r="J235" s="12"/>
      <c r="K235" s="12"/>
    </row>
    <row r="236" spans="1:11" ht="15.75" customHeight="1">
      <c r="A236" s="73" t="s">
        <v>727</v>
      </c>
      <c r="C236" s="64">
        <f>+I203/2*B204</f>
        <v>29.5</v>
      </c>
      <c r="D236" s="62" t="s">
        <v>728</v>
      </c>
      <c r="F236" s="63" t="s">
        <v>2268</v>
      </c>
      <c r="H236" s="61">
        <f>+C234*C236</f>
        <v>1893531.25</v>
      </c>
      <c r="I236" s="62" t="s">
        <v>704</v>
      </c>
      <c r="J236" s="12"/>
      <c r="K236" s="12"/>
    </row>
    <row r="237" spans="1:11" ht="6" customHeight="1">
      <c r="A237" s="73"/>
      <c r="B237" s="64"/>
      <c r="C237" s="62"/>
      <c r="D237" s="58"/>
      <c r="E237" s="63"/>
      <c r="F237" s="61"/>
      <c r="G237" s="62"/>
      <c r="H237" s="12"/>
      <c r="I237" s="12"/>
      <c r="J237" s="12"/>
      <c r="K237" s="12"/>
    </row>
    <row r="238" spans="1:11" ht="15.75" customHeight="1">
      <c r="A238" s="73" t="s">
        <v>729</v>
      </c>
      <c r="C238" s="56">
        <f>+I203/4</f>
        <v>1.475</v>
      </c>
      <c r="D238" s="57" t="s">
        <v>699</v>
      </c>
      <c r="E238" s="63"/>
      <c r="F238" s="61"/>
      <c r="G238" s="62"/>
      <c r="H238" s="12"/>
      <c r="I238" s="12"/>
      <c r="J238" s="12"/>
      <c r="K238" s="12"/>
    </row>
    <row r="239" spans="1:11" ht="6" customHeight="1">
      <c r="A239" s="73"/>
      <c r="C239" s="64"/>
      <c r="D239" s="62"/>
      <c r="E239" s="63"/>
      <c r="F239" s="61"/>
      <c r="G239" s="62"/>
      <c r="H239" s="12"/>
      <c r="I239" s="12"/>
      <c r="J239" s="12"/>
      <c r="K239" s="12"/>
    </row>
    <row r="240" spans="1:11" ht="15.75" customHeight="1">
      <c r="A240" s="73" t="s">
        <v>730</v>
      </c>
      <c r="C240" s="64">
        <f>+B203*B204</f>
        <v>40</v>
      </c>
      <c r="D240" s="62" t="s">
        <v>728</v>
      </c>
      <c r="F240" s="63" t="s">
        <v>2269</v>
      </c>
      <c r="H240" s="61">
        <f>+C234*C240</f>
        <v>2567500</v>
      </c>
      <c r="I240" s="62" t="s">
        <v>704</v>
      </c>
      <c r="J240" s="12"/>
      <c r="K240" s="12"/>
    </row>
    <row r="241" spans="1:11" ht="6" customHeight="1">
      <c r="A241" s="73"/>
      <c r="C241" s="64"/>
      <c r="D241" s="62"/>
      <c r="E241" s="63"/>
      <c r="F241" s="61"/>
      <c r="G241" s="62"/>
      <c r="H241" s="12"/>
      <c r="I241" s="12"/>
      <c r="J241" s="12"/>
      <c r="K241" s="12"/>
    </row>
    <row r="242" spans="1:11" ht="15.75" customHeight="1">
      <c r="A242" s="73" t="s">
        <v>731</v>
      </c>
      <c r="C242" s="64">
        <f>+B203/2</f>
        <v>2</v>
      </c>
      <c r="D242" s="62" t="s">
        <v>699</v>
      </c>
      <c r="E242" s="63"/>
      <c r="F242" s="61"/>
      <c r="G242" s="62"/>
      <c r="H242" s="12"/>
      <c r="I242" s="12"/>
      <c r="J242" s="12"/>
      <c r="K242" s="12"/>
    </row>
    <row r="243" spans="1:7" ht="6" customHeight="1">
      <c r="A243" s="60"/>
      <c r="B243" s="64"/>
      <c r="C243" s="62"/>
      <c r="D243" s="58"/>
      <c r="E243" s="63"/>
      <c r="F243" s="61"/>
      <c r="G243" s="62"/>
    </row>
    <row r="244" spans="1:7" ht="15.75" customHeight="1">
      <c r="A244" s="65" t="s">
        <v>732</v>
      </c>
      <c r="B244" s="65"/>
      <c r="C244" s="65"/>
      <c r="D244" s="65"/>
      <c r="E244" s="65"/>
      <c r="F244" s="65"/>
      <c r="G244" s="55"/>
    </row>
    <row r="245" spans="1:7" ht="6" customHeight="1">
      <c r="A245" s="65"/>
      <c r="B245" s="65"/>
      <c r="C245" s="65"/>
      <c r="D245" s="65"/>
      <c r="E245" s="65"/>
      <c r="F245" s="65"/>
      <c r="G245" s="55"/>
    </row>
    <row r="246" spans="1:7" ht="15.75" customHeight="1">
      <c r="A246" s="66" t="s">
        <v>733</v>
      </c>
      <c r="B246" s="67"/>
      <c r="C246" s="28"/>
      <c r="D246" s="27"/>
      <c r="E246" s="68"/>
      <c r="F246" s="13"/>
      <c r="G246" s="62"/>
    </row>
    <row r="247" spans="1:7" ht="6" customHeight="1">
      <c r="A247" s="69"/>
      <c r="B247" s="28"/>
      <c r="C247" s="28"/>
      <c r="D247" s="28"/>
      <c r="E247" s="28"/>
      <c r="F247" s="28"/>
      <c r="G247" s="28"/>
    </row>
    <row r="248" spans="1:8" ht="15.75" customHeight="1">
      <c r="A248" s="66" t="s">
        <v>2559</v>
      </c>
      <c r="B248" s="11"/>
      <c r="C248" s="74"/>
      <c r="D248" s="74"/>
      <c r="E248" s="10"/>
      <c r="F248" s="10"/>
      <c r="G248" s="11">
        <f>+-(H236*C238+H240*C242-C230*G230-G218*B224)/I203</f>
        <v>-413455.7291666665</v>
      </c>
      <c r="H248" s="9" t="s">
        <v>704</v>
      </c>
    </row>
    <row r="249" spans="1:7" ht="6" customHeight="1">
      <c r="A249" s="69"/>
      <c r="B249" s="28"/>
      <c r="C249" s="28"/>
      <c r="D249" s="28"/>
      <c r="E249" s="28"/>
      <c r="F249" s="28"/>
      <c r="G249" s="28"/>
    </row>
    <row r="250" spans="1:7" ht="15.75" customHeight="1">
      <c r="A250" s="65" t="s">
        <v>734</v>
      </c>
      <c r="B250" s="28"/>
      <c r="C250" s="28"/>
      <c r="D250" s="28"/>
      <c r="E250" s="28"/>
      <c r="F250" s="28"/>
      <c r="G250" s="28"/>
    </row>
    <row r="251" spans="1:7" ht="6" customHeight="1">
      <c r="A251" s="28"/>
      <c r="B251" s="28"/>
      <c r="C251" s="28"/>
      <c r="D251" s="28"/>
      <c r="E251" s="28"/>
      <c r="F251" s="28"/>
      <c r="G251" s="28"/>
    </row>
    <row r="252" spans="1:7" ht="15.75" customHeight="1">
      <c r="A252" s="14" t="s">
        <v>2262</v>
      </c>
      <c r="C252" s="12">
        <f>+B202*10^5+I202*(E203+B205)</f>
        <v>110125</v>
      </c>
      <c r="D252" s="28" t="s">
        <v>700</v>
      </c>
      <c r="E252" s="12" t="s">
        <v>2263</v>
      </c>
      <c r="F252" s="12">
        <f>+G214</f>
        <v>38375.000000000015</v>
      </c>
      <c r="G252" s="28" t="s">
        <v>700</v>
      </c>
    </row>
    <row r="253" spans="1:7" ht="6" customHeight="1">
      <c r="A253" s="28"/>
      <c r="B253" s="28"/>
      <c r="C253" s="28"/>
      <c r="D253" s="28"/>
      <c r="E253" s="28"/>
      <c r="F253" s="28"/>
      <c r="G253" s="28"/>
    </row>
    <row r="254" spans="1:7" ht="15.75" customHeight="1">
      <c r="A254" s="14" t="s">
        <v>2264</v>
      </c>
      <c r="C254" s="9" t="s">
        <v>2558</v>
      </c>
      <c r="D254" s="74"/>
      <c r="E254" s="8">
        <f>+(C252-F252)/E204</f>
        <v>0.5380093279944811</v>
      </c>
      <c r="F254" s="74" t="s">
        <v>699</v>
      </c>
      <c r="G254" s="28"/>
    </row>
    <row r="255" spans="1:6" ht="6" customHeight="1">
      <c r="A255"/>
      <c r="B255"/>
      <c r="C255"/>
      <c r="D255"/>
      <c r="E255"/>
      <c r="F255"/>
    </row>
    <row r="256" spans="1:11" ht="6" customHeight="1">
      <c r="A256" s="94"/>
      <c r="B256" s="94"/>
      <c r="C256" s="94"/>
      <c r="D256" s="94"/>
      <c r="E256" s="94"/>
      <c r="F256" s="94"/>
      <c r="G256" s="87"/>
      <c r="H256" s="87"/>
      <c r="I256" s="87"/>
      <c r="J256" s="87"/>
      <c r="K256" s="87"/>
    </row>
    <row r="257" spans="1:6" ht="6" customHeight="1">
      <c r="A257"/>
      <c r="B257"/>
      <c r="C257"/>
      <c r="D257"/>
      <c r="E257"/>
      <c r="F257"/>
    </row>
    <row r="258" spans="1:6" ht="15.75" customHeight="1">
      <c r="A258" s="85" t="s">
        <v>1298</v>
      </c>
      <c r="B258"/>
      <c r="C258"/>
      <c r="D258"/>
      <c r="E258"/>
      <c r="F258"/>
    </row>
    <row r="259" spans="1:6" ht="6" customHeight="1">
      <c r="A259"/>
      <c r="B259"/>
      <c r="C259"/>
      <c r="D259"/>
      <c r="E259"/>
      <c r="F259"/>
    </row>
    <row r="260" spans="1:6" ht="15.75" customHeight="1">
      <c r="A260" s="5" t="s">
        <v>112</v>
      </c>
      <c r="B260"/>
      <c r="C260"/>
      <c r="D260"/>
      <c r="E260"/>
      <c r="F260"/>
    </row>
    <row r="261" spans="1:6" ht="6" customHeight="1">
      <c r="A261"/>
      <c r="B261"/>
      <c r="C261"/>
      <c r="D261"/>
      <c r="E261"/>
      <c r="F261"/>
    </row>
    <row r="262" spans="1:10" ht="15.75" customHeight="1">
      <c r="A262" s="12" t="s">
        <v>2560</v>
      </c>
      <c r="B262" s="15">
        <v>2</v>
      </c>
      <c r="C262" s="28" t="s">
        <v>699</v>
      </c>
      <c r="D262" s="16" t="s">
        <v>2562</v>
      </c>
      <c r="E262" s="12">
        <v>9806</v>
      </c>
      <c r="F262" s="28" t="s">
        <v>713</v>
      </c>
      <c r="G262" s="100" t="s">
        <v>2561</v>
      </c>
      <c r="H262" s="4"/>
      <c r="I262" s="12">
        <f>7800+20*E264</f>
        <v>7820</v>
      </c>
      <c r="J262" s="28" t="s">
        <v>713</v>
      </c>
    </row>
    <row r="263" spans="1:10" ht="15.75" customHeight="1">
      <c r="A263" s="12" t="s">
        <v>712</v>
      </c>
      <c r="B263" s="15">
        <v>2</v>
      </c>
      <c r="C263" s="28" t="s">
        <v>699</v>
      </c>
      <c r="D263" s="16" t="s">
        <v>715</v>
      </c>
      <c r="E263" s="12">
        <v>133362</v>
      </c>
      <c r="F263" s="28" t="s">
        <v>713</v>
      </c>
      <c r="G263" s="84" t="s">
        <v>2563</v>
      </c>
      <c r="H263" s="4"/>
      <c r="I263" s="15">
        <f>2+E265/30</f>
        <v>2.033333333333333</v>
      </c>
      <c r="J263" s="28" t="s">
        <v>699</v>
      </c>
    </row>
    <row r="264" spans="1:8" ht="15.75" customHeight="1">
      <c r="A264" s="16" t="s">
        <v>708</v>
      </c>
      <c r="B264" s="13">
        <v>60</v>
      </c>
      <c r="C264" s="28" t="s">
        <v>706</v>
      </c>
      <c r="D264" s="30" t="s">
        <v>716</v>
      </c>
      <c r="E264" s="31">
        <v>1</v>
      </c>
      <c r="H264" s="27"/>
    </row>
    <row r="265" spans="1:8" ht="15.75" customHeight="1">
      <c r="A265" s="16" t="s">
        <v>702</v>
      </c>
      <c r="B265" s="15">
        <v>0.5</v>
      </c>
      <c r="C265" s="28" t="s">
        <v>699</v>
      </c>
      <c r="D265" s="30" t="s">
        <v>717</v>
      </c>
      <c r="E265" s="31">
        <v>1</v>
      </c>
      <c r="H265" s="27"/>
    </row>
    <row r="266" spans="1:8" ht="15.75" customHeight="1">
      <c r="A266" s="12" t="s">
        <v>711</v>
      </c>
      <c r="B266" s="15">
        <v>5</v>
      </c>
      <c r="C266" s="28" t="s">
        <v>699</v>
      </c>
      <c r="G266"/>
      <c r="H266" s="27"/>
    </row>
    <row r="267" spans="1:8" ht="6" customHeight="1">
      <c r="A267" s="12"/>
      <c r="B267" s="15"/>
      <c r="C267" s="28"/>
      <c r="D267" s="27"/>
      <c r="E267" s="16"/>
      <c r="F267" s="12"/>
      <c r="G267" s="28"/>
      <c r="H267" s="27"/>
    </row>
    <row r="268" spans="1:8" ht="15.75" customHeight="1">
      <c r="A268" s="76" t="s">
        <v>1919</v>
      </c>
      <c r="B268" s="78"/>
      <c r="C268" s="28"/>
      <c r="D268" s="27"/>
      <c r="E268"/>
      <c r="F268"/>
      <c r="G268"/>
      <c r="H268" s="27"/>
    </row>
    <row r="269" spans="1:8" ht="6" customHeight="1">
      <c r="A269" s="27"/>
      <c r="B269" s="27"/>
      <c r="C269" s="27"/>
      <c r="D269" s="27"/>
      <c r="E269" s="27"/>
      <c r="F269" s="27"/>
      <c r="G269" s="27"/>
      <c r="H269" s="27"/>
    </row>
    <row r="270" spans="1:8" ht="15.75" customHeight="1">
      <c r="A270" s="5" t="s">
        <v>113</v>
      </c>
      <c r="B270" s="27"/>
      <c r="C270" s="27"/>
      <c r="D270" s="27"/>
      <c r="E270" s="27"/>
      <c r="F270" s="27"/>
      <c r="G270" s="27"/>
      <c r="H270" s="27"/>
    </row>
    <row r="271" spans="1:8" ht="6" customHeight="1">
      <c r="A271" s="27"/>
      <c r="B271" s="27"/>
      <c r="C271" s="27"/>
      <c r="D271" s="27"/>
      <c r="E271" s="27"/>
      <c r="F271" s="27"/>
      <c r="G271" s="27"/>
      <c r="H271" s="27"/>
    </row>
    <row r="272" spans="1:8" ht="15.75" customHeight="1">
      <c r="A272" s="65" t="s">
        <v>2564</v>
      </c>
      <c r="B272" s="27"/>
      <c r="C272" s="27"/>
      <c r="D272" s="27"/>
      <c r="E272" s="27"/>
      <c r="F272" s="27"/>
      <c r="G272" s="27"/>
      <c r="H272" s="27"/>
    </row>
    <row r="273" spans="1:8" ht="6" customHeight="1">
      <c r="A273" s="27"/>
      <c r="B273" s="27"/>
      <c r="C273" s="27"/>
      <c r="D273" s="27"/>
      <c r="E273" s="27"/>
      <c r="F273" s="27"/>
      <c r="G273" s="27"/>
      <c r="H273" s="27"/>
    </row>
    <row r="274" spans="1:8" ht="15.75" customHeight="1">
      <c r="A274" s="95" t="s">
        <v>2565</v>
      </c>
      <c r="B274" s="33"/>
      <c r="C274" s="33"/>
      <c r="D274" s="33"/>
      <c r="E274" s="33"/>
      <c r="F274" s="33"/>
      <c r="G274" s="33"/>
      <c r="H274" s="27"/>
    </row>
    <row r="275" spans="1:8" ht="15.75" customHeight="1">
      <c r="A275" s="95" t="s">
        <v>2566</v>
      </c>
      <c r="B275" s="33"/>
      <c r="C275" s="33"/>
      <c r="D275" s="33"/>
      <c r="E275" s="33"/>
      <c r="F275" s="33"/>
      <c r="G275" s="33"/>
      <c r="H275" s="27"/>
    </row>
    <row r="276" spans="1:8" ht="6" customHeight="1">
      <c r="A276" s="33"/>
      <c r="B276" s="33"/>
      <c r="C276" s="33"/>
      <c r="D276" s="33"/>
      <c r="E276" s="33"/>
      <c r="F276" s="33"/>
      <c r="G276" s="33"/>
      <c r="H276" s="27"/>
    </row>
    <row r="277" spans="1:8" ht="15.75" customHeight="1">
      <c r="A277" s="95" t="s">
        <v>2567</v>
      </c>
      <c r="B277" s="33"/>
      <c r="C277" s="33"/>
      <c r="D277" s="33"/>
      <c r="E277" s="33"/>
      <c r="F277" s="33"/>
      <c r="G277" s="33"/>
      <c r="H277" s="27"/>
    </row>
    <row r="278" spans="1:8" ht="15.75" customHeight="1">
      <c r="A278" s="95" t="s">
        <v>2184</v>
      </c>
      <c r="B278" s="33"/>
      <c r="C278" s="33"/>
      <c r="D278" s="33"/>
      <c r="E278" s="33"/>
      <c r="F278" s="33"/>
      <c r="G278" s="33"/>
      <c r="H278" s="27"/>
    </row>
    <row r="279" spans="1:8" ht="6" customHeight="1">
      <c r="A279" s="27"/>
      <c r="B279" s="27"/>
      <c r="C279" s="27"/>
      <c r="D279" s="27"/>
      <c r="E279" s="27"/>
      <c r="F279" s="27"/>
      <c r="G279" s="27"/>
      <c r="H279" s="27"/>
    </row>
    <row r="280" spans="1:8" ht="15.75" customHeight="1">
      <c r="A280" s="12" t="s">
        <v>2185</v>
      </c>
      <c r="B280" s="13">
        <f>-E263*B265</f>
        <v>-66681</v>
      </c>
      <c r="C280" s="28" t="s">
        <v>700</v>
      </c>
      <c r="D280" s="28"/>
      <c r="E280" s="12" t="s">
        <v>2084</v>
      </c>
      <c r="F280" s="15">
        <f>+B280/E262</f>
        <v>-6.800020395676117</v>
      </c>
      <c r="G280" s="28" t="s">
        <v>699</v>
      </c>
      <c r="H280" s="27"/>
    </row>
    <row r="281" spans="1:8" ht="6" customHeight="1">
      <c r="A281" s="34"/>
      <c r="B281" s="35"/>
      <c r="C281" s="36"/>
      <c r="D281" s="36"/>
      <c r="E281" s="34"/>
      <c r="F281" s="34"/>
      <c r="G281" s="36"/>
      <c r="H281" s="27"/>
    </row>
    <row r="282" spans="1:8" ht="15.75" customHeight="1">
      <c r="A282" s="12" t="s">
        <v>2085</v>
      </c>
      <c r="B282" s="13">
        <f>+B280-E262*B263</f>
        <v>-86293</v>
      </c>
      <c r="C282" s="28" t="s">
        <v>700</v>
      </c>
      <c r="D282" s="36"/>
      <c r="E282" s="12" t="s">
        <v>2186</v>
      </c>
      <c r="F282" s="15">
        <f>+B282/I262</f>
        <v>-11.034910485933503</v>
      </c>
      <c r="G282" s="28" t="s">
        <v>699</v>
      </c>
      <c r="H282" s="27"/>
    </row>
    <row r="283" spans="1:8" ht="6" customHeight="1">
      <c r="A283" s="12"/>
      <c r="B283" s="13"/>
      <c r="C283" s="28"/>
      <c r="D283" s="36"/>
      <c r="E283" s="12"/>
      <c r="F283" s="15"/>
      <c r="G283" s="28"/>
      <c r="H283" s="27"/>
    </row>
    <row r="284" spans="1:8" ht="15.75" customHeight="1">
      <c r="A284" s="95" t="s">
        <v>2187</v>
      </c>
      <c r="B284" s="13"/>
      <c r="C284" s="28"/>
      <c r="D284" s="36"/>
      <c r="E284" s="12"/>
      <c r="F284" s="15"/>
      <c r="G284" s="28"/>
      <c r="H284" s="27"/>
    </row>
    <row r="285" spans="1:8" ht="6" customHeight="1">
      <c r="A285" s="34"/>
      <c r="B285" s="35"/>
      <c r="C285" s="36"/>
      <c r="D285" s="36"/>
      <c r="E285" s="34"/>
      <c r="F285" s="34"/>
      <c r="G285" s="36"/>
      <c r="H285" s="27"/>
    </row>
    <row r="286" spans="1:8" ht="15.75" customHeight="1">
      <c r="A286" s="65" t="s">
        <v>2163</v>
      </c>
      <c r="B286" s="35"/>
      <c r="C286" s="36"/>
      <c r="D286" s="36"/>
      <c r="E286" s="34"/>
      <c r="F286" s="34"/>
      <c r="G286" s="36"/>
      <c r="H286" s="27"/>
    </row>
    <row r="287" spans="1:8" ht="6" customHeight="1">
      <c r="A287" s="34"/>
      <c r="B287" s="35"/>
      <c r="C287" s="36"/>
      <c r="D287" s="36"/>
      <c r="E287" s="34"/>
      <c r="F287" s="34"/>
      <c r="G287" s="36"/>
      <c r="H287" s="27"/>
    </row>
    <row r="288" spans="1:8" ht="15.75" customHeight="1">
      <c r="A288" s="95" t="s">
        <v>2490</v>
      </c>
      <c r="B288" s="35"/>
      <c r="C288" s="36"/>
      <c r="D288" s="36"/>
      <c r="E288" s="34"/>
      <c r="F288" s="34"/>
      <c r="G288" s="36"/>
      <c r="H288" s="27"/>
    </row>
    <row r="289" spans="1:8" ht="15.75" customHeight="1">
      <c r="A289" s="95" t="s">
        <v>2491</v>
      </c>
      <c r="B289" s="35"/>
      <c r="C289" s="36"/>
      <c r="D289" s="36"/>
      <c r="E289" s="34"/>
      <c r="F289" s="34"/>
      <c r="G289" s="36"/>
      <c r="H289" s="27"/>
    </row>
    <row r="290" spans="1:8" ht="15.75" customHeight="1">
      <c r="A290" s="95" t="s">
        <v>2492</v>
      </c>
      <c r="B290" s="35"/>
      <c r="C290" s="36"/>
      <c r="D290" s="36"/>
      <c r="E290" s="34"/>
      <c r="F290" s="34"/>
      <c r="G290" s="36"/>
      <c r="H290" s="27"/>
    </row>
    <row r="291" spans="1:8" ht="15.75" customHeight="1">
      <c r="A291" s="95" t="s">
        <v>2493</v>
      </c>
      <c r="B291" s="35"/>
      <c r="C291" s="36"/>
      <c r="D291" s="36"/>
      <c r="E291" s="34"/>
      <c r="F291" s="34"/>
      <c r="G291" s="36"/>
      <c r="H291" s="27"/>
    </row>
    <row r="292" spans="1:8" ht="6" customHeight="1">
      <c r="A292" s="34"/>
      <c r="B292" s="35"/>
      <c r="C292" s="36"/>
      <c r="D292" s="36"/>
      <c r="E292" s="34"/>
      <c r="F292" s="34"/>
      <c r="G292" s="36"/>
      <c r="H292" s="27"/>
    </row>
    <row r="293" spans="1:8" ht="15.75" customHeight="1">
      <c r="A293" s="12" t="s">
        <v>2494</v>
      </c>
      <c r="B293" s="15">
        <f>+-(ABS(F282)+B262/2)</f>
        <v>-12.034910485933503</v>
      </c>
      <c r="C293" s="28" t="s">
        <v>699</v>
      </c>
      <c r="D293" s="96"/>
      <c r="E293" s="12" t="s">
        <v>2229</v>
      </c>
      <c r="F293" s="13">
        <f>+I262*B293</f>
        <v>-94113</v>
      </c>
      <c r="G293" s="28" t="s">
        <v>700</v>
      </c>
      <c r="H293" s="27"/>
    </row>
    <row r="294" spans="1:8" ht="6" customHeight="1">
      <c r="A294" s="12"/>
      <c r="B294" s="15"/>
      <c r="C294" s="28"/>
      <c r="D294" s="28"/>
      <c r="E294" s="28"/>
      <c r="F294" s="12"/>
      <c r="G294" s="28"/>
      <c r="H294" s="27"/>
    </row>
    <row r="295" spans="1:8" ht="15.75" customHeight="1">
      <c r="A295" s="12" t="s">
        <v>2230</v>
      </c>
      <c r="B295" s="15">
        <f>+B262/SIN(RADIANS(B264))*B266</f>
        <v>11.547005383792516</v>
      </c>
      <c r="C295" s="28" t="s">
        <v>108</v>
      </c>
      <c r="D295" s="27"/>
      <c r="E295" s="68" t="s">
        <v>2231</v>
      </c>
      <c r="F295" s="13">
        <f>+F293*B295</f>
        <v>-1086723.317684865</v>
      </c>
      <c r="G295" s="28" t="s">
        <v>704</v>
      </c>
      <c r="H295" s="27"/>
    </row>
    <row r="296" spans="1:8" ht="6" customHeight="1">
      <c r="A296" s="34"/>
      <c r="B296" s="35"/>
      <c r="C296" s="36"/>
      <c r="D296" s="33"/>
      <c r="E296" s="39"/>
      <c r="F296" s="37"/>
      <c r="G296" s="36"/>
      <c r="H296" s="27"/>
    </row>
    <row r="297" spans="1:8" ht="15.75" customHeight="1">
      <c r="A297" s="95" t="s">
        <v>2232</v>
      </c>
      <c r="B297" s="35"/>
      <c r="C297" s="36"/>
      <c r="D297" s="33"/>
      <c r="E297" s="39"/>
      <c r="F297" s="37"/>
      <c r="G297" s="36"/>
      <c r="H297" s="27"/>
    </row>
    <row r="298" spans="1:8" ht="15.75" customHeight="1">
      <c r="A298" s="95" t="s">
        <v>2233</v>
      </c>
      <c r="B298" s="35"/>
      <c r="C298" s="36"/>
      <c r="D298" s="33"/>
      <c r="E298" s="39"/>
      <c r="F298" s="37"/>
      <c r="G298" s="36"/>
      <c r="H298" s="27"/>
    </row>
    <row r="299" spans="1:8" ht="6" customHeight="1">
      <c r="A299" s="34"/>
      <c r="B299" s="35"/>
      <c r="C299" s="36"/>
      <c r="D299" s="33"/>
      <c r="E299" s="39"/>
      <c r="F299" s="37"/>
      <c r="G299" s="36"/>
      <c r="H299" s="27"/>
    </row>
    <row r="300" spans="1:8" ht="15.75" customHeight="1">
      <c r="A300" s="12" t="s">
        <v>2234</v>
      </c>
      <c r="B300" s="15">
        <f>+B293/SIN(RADIANS(B264))</f>
        <v>-13.896717617453517</v>
      </c>
      <c r="C300" s="28" t="s">
        <v>699</v>
      </c>
      <c r="D300" s="27"/>
      <c r="E300" s="68" t="s">
        <v>2235</v>
      </c>
      <c r="F300" s="15">
        <f>+B300*B295</f>
        <v>-160.46547314578007</v>
      </c>
      <c r="G300" s="28" t="s">
        <v>109</v>
      </c>
      <c r="H300" s="27"/>
    </row>
    <row r="301" spans="1:8" ht="6" customHeight="1">
      <c r="A301" s="12"/>
      <c r="B301" s="15"/>
      <c r="C301" s="28"/>
      <c r="D301" s="27"/>
      <c r="E301" s="68"/>
      <c r="F301" s="13"/>
      <c r="G301" s="28"/>
      <c r="H301" s="27"/>
    </row>
    <row r="302" spans="1:8" ht="15.75" customHeight="1">
      <c r="A302" s="12" t="s">
        <v>2236</v>
      </c>
      <c r="B302" s="15">
        <f>(1/12)*(B262/SIN(RADIANS(B264)))^3*B266</f>
        <v>5.132002392796675</v>
      </c>
      <c r="C302" s="28" t="s">
        <v>110</v>
      </c>
      <c r="D302" s="27"/>
      <c r="E302" s="2" t="s">
        <v>2237</v>
      </c>
      <c r="F302" s="3">
        <f>+B302/F300</f>
        <v>-0.031981972770767586</v>
      </c>
      <c r="G302" s="4" t="s">
        <v>699</v>
      </c>
      <c r="H302" s="27"/>
    </row>
    <row r="303" spans="1:8" ht="6" customHeight="1">
      <c r="A303" s="12"/>
      <c r="B303" s="15"/>
      <c r="C303" s="28"/>
      <c r="D303" s="27"/>
      <c r="H303" s="27"/>
    </row>
    <row r="304" spans="1:8" ht="15.75" customHeight="1">
      <c r="A304" s="12" t="s">
        <v>2238</v>
      </c>
      <c r="B304" s="3">
        <f>+B262/(2*SIN(RADIANS(B264)))+ABS(F302)</f>
        <v>1.1866825111500192</v>
      </c>
      <c r="C304" s="4" t="s">
        <v>699</v>
      </c>
      <c r="D304" s="27"/>
      <c r="E304" s="97"/>
      <c r="F304" s="67"/>
      <c r="G304" s="67"/>
      <c r="H304" s="27"/>
    </row>
    <row r="305" spans="1:8" ht="6" customHeight="1">
      <c r="A305" s="12"/>
      <c r="B305" s="3"/>
      <c r="C305" s="4"/>
      <c r="D305" s="27"/>
      <c r="E305"/>
      <c r="F305"/>
      <c r="G305"/>
      <c r="H305" s="27"/>
    </row>
    <row r="306" spans="1:8" ht="15.75" customHeight="1">
      <c r="A306" s="65" t="s">
        <v>2164</v>
      </c>
      <c r="B306" s="3"/>
      <c r="C306" s="4"/>
      <c r="D306" s="27"/>
      <c r="E306"/>
      <c r="F306"/>
      <c r="G306"/>
      <c r="H306" s="27"/>
    </row>
    <row r="307" spans="1:8" ht="6" customHeight="1">
      <c r="A307" s="12"/>
      <c r="B307" s="3"/>
      <c r="C307" s="4"/>
      <c r="D307" s="27"/>
      <c r="E307"/>
      <c r="F307"/>
      <c r="G307"/>
      <c r="H307" s="27"/>
    </row>
    <row r="308" spans="1:8" ht="15.75" customHeight="1">
      <c r="A308" s="95" t="s">
        <v>2239</v>
      </c>
      <c r="B308" s="3"/>
      <c r="C308" s="4"/>
      <c r="D308" s="27"/>
      <c r="E308"/>
      <c r="F308"/>
      <c r="G308"/>
      <c r="H308" s="27"/>
    </row>
    <row r="309" spans="1:8" ht="15.75" customHeight="1">
      <c r="A309" s="95" t="s">
        <v>21</v>
      </c>
      <c r="B309" s="3"/>
      <c r="C309" s="4"/>
      <c r="D309" s="27"/>
      <c r="E309"/>
      <c r="F309"/>
      <c r="G309"/>
      <c r="H309" s="27"/>
    </row>
    <row r="310" spans="1:8" ht="15.75" customHeight="1">
      <c r="A310" s="95" t="s">
        <v>1911</v>
      </c>
      <c r="B310" s="3"/>
      <c r="C310" s="4"/>
      <c r="D310" s="27"/>
      <c r="E310"/>
      <c r="F310"/>
      <c r="G310"/>
      <c r="H310" s="27"/>
    </row>
    <row r="311" spans="1:8" ht="6" customHeight="1">
      <c r="A311" s="95"/>
      <c r="B311" s="3"/>
      <c r="C311" s="4"/>
      <c r="D311" s="27"/>
      <c r="E311"/>
      <c r="F311"/>
      <c r="G311"/>
      <c r="H311" s="27"/>
    </row>
    <row r="312" spans="1:8" ht="15.75" customHeight="1">
      <c r="A312" s="47" t="s">
        <v>1912</v>
      </c>
      <c r="B312" s="48">
        <f>+B282-I262*B262</f>
        <v>-101933</v>
      </c>
      <c r="C312" s="49" t="s">
        <v>700</v>
      </c>
      <c r="D312" s="50"/>
      <c r="E312" s="47" t="s">
        <v>1913</v>
      </c>
      <c r="F312" s="51">
        <f>+I263*B266</f>
        <v>10.166666666666666</v>
      </c>
      <c r="G312" s="49" t="s">
        <v>723</v>
      </c>
      <c r="H312" s="27"/>
    </row>
    <row r="313" spans="1:8" ht="6" customHeight="1">
      <c r="A313" s="47"/>
      <c r="B313" s="52"/>
      <c r="C313" s="53"/>
      <c r="D313" s="50"/>
      <c r="E313" s="54"/>
      <c r="F313" s="54"/>
      <c r="G313" s="54"/>
      <c r="H313" s="27"/>
    </row>
    <row r="314" spans="1:8" ht="15.75" customHeight="1">
      <c r="A314" s="98" t="s">
        <v>1914</v>
      </c>
      <c r="B314" s="48">
        <f>+B312*F312</f>
        <v>-1036318.8333333333</v>
      </c>
      <c r="C314" s="49" t="s">
        <v>704</v>
      </c>
      <c r="D314" s="99" t="s">
        <v>1915</v>
      </c>
      <c r="E314" s="71" t="s">
        <v>2086</v>
      </c>
      <c r="G314" s="51">
        <f>+I263/2+B262/(TAN(RADIANS(B264)))</f>
        <v>2.1713672050459185</v>
      </c>
      <c r="H314" s="49" t="s">
        <v>699</v>
      </c>
    </row>
    <row r="315" spans="1:8" ht="6" customHeight="1">
      <c r="A315" s="98"/>
      <c r="B315" s="48"/>
      <c r="C315" s="49"/>
      <c r="D315" s="50"/>
      <c r="E315" s="47"/>
      <c r="F315" s="51"/>
      <c r="G315" s="49"/>
      <c r="H315" s="27"/>
    </row>
    <row r="316" spans="1:8" ht="15.75" customHeight="1">
      <c r="A316" s="65" t="s">
        <v>2165</v>
      </c>
      <c r="B316" s="48"/>
      <c r="C316" s="49"/>
      <c r="D316" s="50"/>
      <c r="E316" s="47"/>
      <c r="F316" s="51"/>
      <c r="G316" s="49"/>
      <c r="H316" s="27"/>
    </row>
    <row r="317" spans="1:8" ht="6" customHeight="1">
      <c r="A317" s="65"/>
      <c r="B317" s="48"/>
      <c r="C317" s="49"/>
      <c r="D317" s="50"/>
      <c r="E317" s="47"/>
      <c r="F317" s="51"/>
      <c r="G317" s="49"/>
      <c r="H317" s="27"/>
    </row>
    <row r="318" spans="1:8" ht="15.75" customHeight="1">
      <c r="A318" s="95" t="s">
        <v>1916</v>
      </c>
      <c r="B318" s="48"/>
      <c r="C318" s="49"/>
      <c r="D318" s="50"/>
      <c r="E318" s="47"/>
      <c r="F318" s="51"/>
      <c r="G318" s="49"/>
      <c r="H318" s="27"/>
    </row>
    <row r="319" spans="1:8" ht="15.75" customHeight="1">
      <c r="A319" s="95" t="s">
        <v>1917</v>
      </c>
      <c r="B319" s="48"/>
      <c r="C319" s="49"/>
      <c r="D319" s="50"/>
      <c r="E319" s="47"/>
      <c r="F319" s="51"/>
      <c r="G319" s="49"/>
      <c r="H319" s="27"/>
    </row>
    <row r="320" spans="1:8" ht="15.75" customHeight="1">
      <c r="A320" s="95" t="s">
        <v>1918</v>
      </c>
      <c r="B320" s="48"/>
      <c r="C320" s="49"/>
      <c r="D320" s="50"/>
      <c r="E320" s="47"/>
      <c r="F320" s="51"/>
      <c r="G320" s="49"/>
      <c r="H320" s="27"/>
    </row>
    <row r="321" spans="1:8" ht="6" customHeight="1">
      <c r="A321" s="95"/>
      <c r="B321" s="48"/>
      <c r="C321" s="49"/>
      <c r="D321" s="50"/>
      <c r="E321" s="47"/>
      <c r="F321" s="51"/>
      <c r="G321" s="49"/>
      <c r="H321" s="27"/>
    </row>
    <row r="322" spans="1:8" ht="15.75" customHeight="1">
      <c r="A322" s="101" t="s">
        <v>1898</v>
      </c>
      <c r="B322" s="102"/>
      <c r="C322" s="102">
        <f>+(ABS(F295)*B304+ABS(B314)*G314)/B262</f>
        <v>1769912.1421135012</v>
      </c>
      <c r="D322" s="103" t="s">
        <v>704</v>
      </c>
      <c r="E322" s="47"/>
      <c r="F322" s="51"/>
      <c r="G322" s="49"/>
      <c r="H322" s="27"/>
    </row>
    <row r="323" spans="1:8" ht="6" customHeight="1">
      <c r="A323" s="98"/>
      <c r="B323" s="48"/>
      <c r="C323" s="49"/>
      <c r="D323" s="50"/>
      <c r="E323" s="47"/>
      <c r="F323" s="51"/>
      <c r="G323" s="49"/>
      <c r="H323" s="27"/>
    </row>
    <row r="324" spans="1:11" ht="6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</row>
  </sheetData>
  <sheetProtection password="DD5B" sheet="1" objects="1" scenarios="1"/>
  <printOptions horizontalCentered="1"/>
  <pageMargins left="0" right="0" top="0" bottom="0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7.00390625" style="1" customWidth="1"/>
    <col min="4" max="4" width="8.57421875" style="1" customWidth="1"/>
    <col min="5" max="5" width="9.7109375" style="1" customWidth="1"/>
    <col min="6" max="6" width="7.421875" style="1" customWidth="1"/>
    <col min="7" max="7" width="8.57421875" style="1" customWidth="1"/>
    <col min="8" max="8" width="7.421875" style="1" customWidth="1"/>
    <col min="9" max="9" width="8.00390625" style="1" customWidth="1"/>
    <col min="10" max="10" width="9.140625" style="1" customWidth="1"/>
    <col min="11" max="11" width="6.57421875" style="1" customWidth="1"/>
    <col min="12" max="12" width="3.8515625" style="1" customWidth="1"/>
    <col min="13" max="13" width="8.00390625" style="1" customWidth="1"/>
    <col min="14" max="16384" width="9.140625" style="1" customWidth="1"/>
  </cols>
  <sheetData>
    <row r="1" ht="15.75" customHeight="1">
      <c r="A1" s="85" t="s">
        <v>1775</v>
      </c>
    </row>
    <row r="2" ht="6" customHeight="1"/>
    <row r="3" ht="15.75" customHeight="1">
      <c r="A3" s="5" t="s">
        <v>112</v>
      </c>
    </row>
    <row r="4" ht="6" customHeight="1"/>
    <row r="5" spans="1:9" ht="15.75" customHeight="1">
      <c r="A5" s="2" t="s">
        <v>698</v>
      </c>
      <c r="B5" s="1">
        <v>7725</v>
      </c>
      <c r="C5" s="4" t="s">
        <v>713</v>
      </c>
      <c r="D5" s="1" t="s">
        <v>2295</v>
      </c>
      <c r="E5" s="3">
        <v>7.5</v>
      </c>
      <c r="F5" s="4" t="s">
        <v>699</v>
      </c>
      <c r="G5" s="1" t="s">
        <v>2297</v>
      </c>
      <c r="H5" s="3">
        <v>11</v>
      </c>
      <c r="I5" s="4" t="s">
        <v>699</v>
      </c>
    </row>
    <row r="6" spans="3:6" ht="6" customHeight="1">
      <c r="C6" s="4"/>
      <c r="F6" s="4"/>
    </row>
    <row r="7" spans="1:6" ht="15.75" customHeight="1">
      <c r="A7" s="5" t="s">
        <v>1774</v>
      </c>
      <c r="C7" s="4"/>
      <c r="F7" s="4"/>
    </row>
    <row r="8" spans="3:6" ht="6" customHeight="1">
      <c r="C8" s="4"/>
      <c r="F8" s="4"/>
    </row>
    <row r="9" spans="1:6" ht="15.75" customHeight="1">
      <c r="A9" s="5" t="s">
        <v>113</v>
      </c>
      <c r="C9" s="4"/>
      <c r="F9" s="4"/>
    </row>
    <row r="10" spans="1:6" ht="6" customHeight="1">
      <c r="A10" s="5"/>
      <c r="C10" s="4"/>
      <c r="F10" s="4"/>
    </row>
    <row r="11" spans="2:6" ht="15.75" customHeight="1">
      <c r="B11" s="5" t="s">
        <v>1899</v>
      </c>
      <c r="C11" s="4"/>
      <c r="E11" s="5" t="s">
        <v>1900</v>
      </c>
      <c r="F11" s="4"/>
    </row>
    <row r="12" spans="3:6" ht="6" customHeight="1">
      <c r="C12" s="4"/>
      <c r="F12" s="4"/>
    </row>
    <row r="13" spans="1:12" ht="15.75" customHeight="1">
      <c r="A13" s="10" t="s">
        <v>1759</v>
      </c>
      <c r="B13" s="11">
        <f>+B5*E5</f>
        <v>57937.5</v>
      </c>
      <c r="C13" s="9" t="s">
        <v>700</v>
      </c>
      <c r="D13" s="1" t="s">
        <v>1760</v>
      </c>
      <c r="E13" s="3">
        <f>+PI()*(H5^2)/4</f>
        <v>95.03317777109125</v>
      </c>
      <c r="F13" s="4" t="s">
        <v>108</v>
      </c>
      <c r="G13" s="2" t="s">
        <v>1761</v>
      </c>
      <c r="H13" s="6">
        <f>+B13*E13</f>
        <v>5505984.737112599</v>
      </c>
      <c r="I13" s="22" t="s">
        <v>704</v>
      </c>
      <c r="J13" s="1" t="s">
        <v>1762</v>
      </c>
      <c r="K13" s="1">
        <v>0</v>
      </c>
      <c r="L13" s="1" t="s">
        <v>704</v>
      </c>
    </row>
    <row r="14" spans="3:9" ht="6" customHeight="1">
      <c r="C14" s="4"/>
      <c r="E14" s="3"/>
      <c r="F14" s="4"/>
      <c r="G14" s="2"/>
      <c r="H14" s="6"/>
      <c r="I14" s="22"/>
    </row>
    <row r="15" spans="1:8" ht="15.75" customHeight="1">
      <c r="A15" s="10" t="s">
        <v>2538</v>
      </c>
      <c r="B15" s="11">
        <f>+K11</f>
        <v>0</v>
      </c>
      <c r="C15" s="23" t="s">
        <v>704</v>
      </c>
      <c r="D15" s="10"/>
      <c r="E15" s="8"/>
      <c r="F15" s="10" t="s">
        <v>2539</v>
      </c>
      <c r="G15" s="11">
        <f>+H13</f>
        <v>5505984.737112599</v>
      </c>
      <c r="H15" s="23" t="s">
        <v>704</v>
      </c>
    </row>
    <row r="16" spans="1:6" ht="6" customHeight="1">
      <c r="A16" s="12"/>
      <c r="B16" s="12"/>
      <c r="C16" s="12"/>
      <c r="E16" s="3"/>
      <c r="F16" s="4"/>
    </row>
    <row r="17" spans="1:6" ht="15.75" customHeight="1">
      <c r="A17" s="10" t="s">
        <v>2299</v>
      </c>
      <c r="B17" s="11">
        <f>+SQRT(B15^2+G15^2)</f>
        <v>5505984.737112599</v>
      </c>
      <c r="C17" s="9" t="s">
        <v>704</v>
      </c>
      <c r="E17" s="3"/>
      <c r="F17" s="4"/>
    </row>
    <row r="18" ht="6" customHeight="1"/>
    <row r="19" spans="1:13" ht="6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ht="6" customHeight="1"/>
    <row r="21" ht="15.75" customHeight="1">
      <c r="A21" s="85" t="s">
        <v>1776</v>
      </c>
    </row>
    <row r="22" ht="6" customHeight="1"/>
    <row r="23" ht="15.75" customHeight="1">
      <c r="A23" s="5" t="s">
        <v>112</v>
      </c>
    </row>
    <row r="24" ht="6" customHeight="1"/>
    <row r="25" spans="1:12" ht="15.75" customHeight="1">
      <c r="A25" s="2" t="s">
        <v>698</v>
      </c>
      <c r="B25" s="1">
        <v>6750</v>
      </c>
      <c r="C25" s="4" t="s">
        <v>713</v>
      </c>
      <c r="D25" s="1" t="s">
        <v>1763</v>
      </c>
      <c r="E25" s="3">
        <v>1</v>
      </c>
      <c r="F25" s="4" t="s">
        <v>699</v>
      </c>
      <c r="G25" s="1" t="s">
        <v>2513</v>
      </c>
      <c r="H25" s="3">
        <v>2.1</v>
      </c>
      <c r="I25" s="4" t="s">
        <v>699</v>
      </c>
      <c r="J25" s="1" t="s">
        <v>2297</v>
      </c>
      <c r="K25" s="3">
        <v>0.5</v>
      </c>
      <c r="L25" s="4" t="s">
        <v>699</v>
      </c>
    </row>
    <row r="26" spans="1:12" ht="15.75" customHeight="1">
      <c r="A26" s="2" t="s">
        <v>2277</v>
      </c>
      <c r="B26" s="1">
        <v>133362</v>
      </c>
      <c r="C26" s="4" t="s">
        <v>713</v>
      </c>
      <c r="D26" s="1" t="s">
        <v>712</v>
      </c>
      <c r="E26" s="3">
        <v>2.5</v>
      </c>
      <c r="F26" s="4" t="s">
        <v>699</v>
      </c>
      <c r="G26" s="2" t="s">
        <v>702</v>
      </c>
      <c r="H26" s="3">
        <v>0.2</v>
      </c>
      <c r="I26" s="4" t="s">
        <v>699</v>
      </c>
      <c r="J26" s="1" t="s">
        <v>711</v>
      </c>
      <c r="K26" s="3">
        <v>2</v>
      </c>
      <c r="L26" s="4" t="s">
        <v>699</v>
      </c>
    </row>
    <row r="27" ht="6" customHeight="1"/>
    <row r="28" spans="1:6" ht="15.75" customHeight="1">
      <c r="A28" s="5" t="s">
        <v>1923</v>
      </c>
      <c r="B28" s="3"/>
      <c r="C28" s="4"/>
      <c r="E28" s="3"/>
      <c r="F28" s="4"/>
    </row>
    <row r="29" spans="2:6" ht="6" customHeight="1">
      <c r="B29" s="3"/>
      <c r="C29" s="4"/>
      <c r="E29" s="3"/>
      <c r="F29" s="4"/>
    </row>
    <row r="30" spans="1:6" ht="15.75" customHeight="1">
      <c r="A30" s="5" t="s">
        <v>113</v>
      </c>
      <c r="E30" s="3"/>
      <c r="F30" s="4"/>
    </row>
    <row r="31" spans="1:6" ht="6.75" customHeight="1">
      <c r="A31" s="5"/>
      <c r="E31" s="3"/>
      <c r="F31" s="4"/>
    </row>
    <row r="32" spans="1:6" ht="15.75" customHeight="1">
      <c r="A32" s="4" t="s">
        <v>1924</v>
      </c>
      <c r="E32" s="3"/>
      <c r="F32" s="4"/>
    </row>
    <row r="33" spans="1:6" ht="15.75" customHeight="1">
      <c r="A33" s="4" t="s">
        <v>619</v>
      </c>
      <c r="E33" s="3"/>
      <c r="F33" s="4"/>
    </row>
    <row r="34" spans="1:6" ht="6.75" customHeight="1">
      <c r="A34" s="5"/>
      <c r="E34" s="3"/>
      <c r="F34" s="4"/>
    </row>
    <row r="35" spans="1:6" ht="15.75" customHeight="1">
      <c r="A35" s="1" t="s">
        <v>2242</v>
      </c>
      <c r="B35" s="6">
        <f>+B26*H26</f>
        <v>26672.4</v>
      </c>
      <c r="C35" s="4" t="s">
        <v>700</v>
      </c>
      <c r="E35" s="92" t="s">
        <v>620</v>
      </c>
      <c r="F35" s="4"/>
    </row>
    <row r="36" spans="1:6" ht="6.75" customHeight="1">
      <c r="A36" s="5"/>
      <c r="E36" s="3"/>
      <c r="F36" s="4"/>
    </row>
    <row r="37" spans="1:6" ht="15.75" customHeight="1">
      <c r="A37" s="1" t="s">
        <v>570</v>
      </c>
      <c r="B37" s="3">
        <f>+B35/B25</f>
        <v>3.9514666666666667</v>
      </c>
      <c r="C37" s="4" t="s">
        <v>699</v>
      </c>
      <c r="E37" s="3"/>
      <c r="F37" s="4"/>
    </row>
    <row r="38" spans="1:6" ht="6.75" customHeight="1">
      <c r="A38" s="5"/>
      <c r="E38" s="3"/>
      <c r="F38" s="4"/>
    </row>
    <row r="39" spans="1:6" ht="15.75" customHeight="1">
      <c r="A39" s="4" t="s">
        <v>1925</v>
      </c>
      <c r="E39" s="3"/>
      <c r="F39" s="4"/>
    </row>
    <row r="40" spans="1:6" ht="6.75" customHeight="1">
      <c r="A40" s="5"/>
      <c r="E40" s="3"/>
      <c r="F40" s="4"/>
    </row>
    <row r="41" spans="1:6" ht="15.75" customHeight="1">
      <c r="A41" s="338" t="s">
        <v>1926</v>
      </c>
      <c r="E41" s="3"/>
      <c r="F41" s="4"/>
    </row>
    <row r="42" spans="1:6" ht="6.75" customHeight="1">
      <c r="A42" s="5"/>
      <c r="E42" s="3"/>
      <c r="F42" s="4"/>
    </row>
    <row r="43" spans="1:6" ht="15.75" customHeight="1">
      <c r="A43" s="4" t="s">
        <v>2574</v>
      </c>
      <c r="E43" s="3"/>
      <c r="F43" s="4"/>
    </row>
    <row r="44" spans="1:6" ht="15.75" customHeight="1">
      <c r="A44" s="21" t="s">
        <v>625</v>
      </c>
      <c r="E44" s="3"/>
      <c r="F44" s="4"/>
    </row>
    <row r="45" spans="1:6" ht="15.75" customHeight="1">
      <c r="A45" s="4" t="s">
        <v>626</v>
      </c>
      <c r="E45" s="3"/>
      <c r="F45" s="4"/>
    </row>
    <row r="46" spans="1:6" ht="15.75" customHeight="1">
      <c r="A46" s="4" t="s">
        <v>627</v>
      </c>
      <c r="E46" s="3"/>
      <c r="F46" s="4"/>
    </row>
    <row r="47" spans="1:6" ht="15.75" customHeight="1">
      <c r="A47" s="4" t="s">
        <v>628</v>
      </c>
      <c r="E47" s="3"/>
      <c r="F47" s="4"/>
    </row>
    <row r="48" spans="1:6" ht="15.75" customHeight="1">
      <c r="A48" s="4" t="s">
        <v>629</v>
      </c>
      <c r="E48" s="3"/>
      <c r="F48" s="4"/>
    </row>
    <row r="49" spans="1:6" ht="15.75" customHeight="1">
      <c r="A49" s="4" t="s">
        <v>630</v>
      </c>
      <c r="E49" s="3"/>
      <c r="F49" s="4"/>
    </row>
    <row r="50" spans="1:6" ht="6.75" customHeight="1">
      <c r="A50" s="4"/>
      <c r="E50" s="3"/>
      <c r="F50" s="4"/>
    </row>
    <row r="51" spans="1:10" ht="15.75" customHeight="1">
      <c r="A51" s="4" t="s">
        <v>1927</v>
      </c>
      <c r="C51" s="3">
        <f>+(1/2)*PI()*(K25^2)/4*K26</f>
        <v>0.19634954084936207</v>
      </c>
      <c r="D51" s="4" t="s">
        <v>109</v>
      </c>
      <c r="G51" s="1" t="s">
        <v>1928</v>
      </c>
      <c r="I51" s="6">
        <f>+C51*B25</f>
        <v>1325.359400733194</v>
      </c>
      <c r="J51" s="22" t="s">
        <v>704</v>
      </c>
    </row>
    <row r="52" spans="1:6" ht="6.75" customHeight="1">
      <c r="A52" s="4"/>
      <c r="E52" s="3"/>
      <c r="F52" s="4"/>
    </row>
    <row r="53" spans="1:6" ht="15.75" customHeight="1">
      <c r="A53" s="4" t="s">
        <v>2422</v>
      </c>
      <c r="E53" s="3"/>
      <c r="F53" s="4"/>
    </row>
    <row r="54" spans="1:6" ht="6.75" customHeight="1">
      <c r="A54" s="4"/>
      <c r="E54" s="3"/>
      <c r="F54" s="4"/>
    </row>
    <row r="55" spans="1:6" ht="15.75" customHeight="1">
      <c r="A55" s="4" t="s">
        <v>2423</v>
      </c>
      <c r="E55" s="3"/>
      <c r="F55" s="4"/>
    </row>
    <row r="56" spans="1:6" ht="6" customHeight="1">
      <c r="A56" s="4"/>
      <c r="E56" s="3"/>
      <c r="F56" s="4"/>
    </row>
    <row r="57" spans="1:10" ht="15.75" customHeight="1">
      <c r="A57" s="92" t="s">
        <v>631</v>
      </c>
      <c r="E57" s="3"/>
      <c r="F57" s="4"/>
      <c r="H57" s="92" t="s">
        <v>632</v>
      </c>
      <c r="J57" s="4"/>
    </row>
    <row r="58" spans="1:6" ht="6" customHeight="1">
      <c r="A58" s="92"/>
      <c r="E58" s="3"/>
      <c r="F58" s="4"/>
    </row>
    <row r="59" spans="1:11" ht="15.75" customHeight="1">
      <c r="A59" s="4" t="s">
        <v>633</v>
      </c>
      <c r="C59" s="3">
        <f>+B37-H25+E25</f>
        <v>2.8514666666666666</v>
      </c>
      <c r="D59" s="4" t="s">
        <v>699</v>
      </c>
      <c r="E59" s="3"/>
      <c r="F59" s="4"/>
      <c r="H59" s="4" t="s">
        <v>2425</v>
      </c>
      <c r="J59" s="6">
        <f>+C59*B25</f>
        <v>19247.399999999998</v>
      </c>
      <c r="K59" s="4" t="s">
        <v>700</v>
      </c>
    </row>
    <row r="60" spans="1:6" ht="6" customHeight="1">
      <c r="A60" s="4"/>
      <c r="E60" s="3"/>
      <c r="F60" s="4"/>
    </row>
    <row r="61" spans="1:8" ht="15.75" customHeight="1">
      <c r="A61" s="4" t="s">
        <v>2426</v>
      </c>
      <c r="B61" s="4"/>
      <c r="C61" s="337"/>
      <c r="E61" s="3"/>
      <c r="F61" s="4"/>
      <c r="H61" s="4" t="s">
        <v>2429</v>
      </c>
    </row>
    <row r="62" spans="2:8" ht="6.75" customHeight="1">
      <c r="B62" s="4"/>
      <c r="E62" s="3"/>
      <c r="F62" s="4"/>
      <c r="H62" s="75"/>
    </row>
    <row r="63" spans="1:11" ht="15.75" customHeight="1">
      <c r="A63" s="22" t="s">
        <v>634</v>
      </c>
      <c r="C63" s="3">
        <f>+K26*K25</f>
        <v>1</v>
      </c>
      <c r="D63" s="4" t="s">
        <v>108</v>
      </c>
      <c r="E63" s="3"/>
      <c r="F63" s="4"/>
      <c r="H63" s="4" t="s">
        <v>1543</v>
      </c>
      <c r="J63" s="6">
        <f>+J59*C63</f>
        <v>19247.399999999998</v>
      </c>
      <c r="K63" s="22" t="s">
        <v>704</v>
      </c>
    </row>
    <row r="64" spans="1:6" ht="6.75" customHeight="1">
      <c r="A64" s="4"/>
      <c r="E64" s="3"/>
      <c r="F64" s="4"/>
    </row>
    <row r="65" spans="1:8" ht="15.75" customHeight="1">
      <c r="A65" s="4"/>
      <c r="E65" s="3"/>
      <c r="F65" s="4"/>
      <c r="H65" s="4" t="s">
        <v>2430</v>
      </c>
    </row>
    <row r="66" spans="1:8" ht="15.75" customHeight="1">
      <c r="A66" s="4"/>
      <c r="E66" s="3"/>
      <c r="F66" s="4"/>
      <c r="H66" s="4" t="s">
        <v>2431</v>
      </c>
    </row>
    <row r="67" spans="1:8" ht="15.75" customHeight="1">
      <c r="A67" s="4"/>
      <c r="E67" s="3"/>
      <c r="F67" s="4"/>
      <c r="H67" s="4" t="s">
        <v>635</v>
      </c>
    </row>
    <row r="68" spans="1:8" ht="6.75" customHeight="1">
      <c r="A68" s="4"/>
      <c r="E68" s="3"/>
      <c r="F68" s="4"/>
      <c r="H68" s="4"/>
    </row>
    <row r="69" spans="1:8" ht="15.75" customHeight="1">
      <c r="A69" s="4" t="s">
        <v>2432</v>
      </c>
      <c r="E69" s="3"/>
      <c r="F69" s="4"/>
      <c r="H69" s="4"/>
    </row>
    <row r="70" spans="1:8" ht="6.75" customHeight="1">
      <c r="A70" s="4"/>
      <c r="E70" s="3"/>
      <c r="F70" s="4"/>
      <c r="H70" s="4"/>
    </row>
    <row r="71" spans="1:8" ht="15.75" customHeight="1">
      <c r="A71" s="4"/>
      <c r="C71" s="5" t="s">
        <v>1764</v>
      </c>
      <c r="E71" s="3"/>
      <c r="F71" s="4"/>
      <c r="H71" s="4"/>
    </row>
    <row r="72" spans="1:6" ht="6.75" customHeight="1">
      <c r="A72" s="4"/>
      <c r="E72" s="3"/>
      <c r="F72" s="4"/>
    </row>
    <row r="73" spans="1:6" ht="15.75" customHeight="1">
      <c r="A73" s="4" t="s">
        <v>2433</v>
      </c>
      <c r="E73" s="3"/>
      <c r="F73" s="4"/>
    </row>
    <row r="74" spans="1:6" ht="15.75" customHeight="1">
      <c r="A74" s="4" t="s">
        <v>2434</v>
      </c>
      <c r="E74" s="3"/>
      <c r="F74" s="4"/>
    </row>
    <row r="75" spans="1:6" ht="6.75" customHeight="1">
      <c r="A75" s="4"/>
      <c r="E75" s="3"/>
      <c r="F75" s="4"/>
    </row>
    <row r="76" spans="1:6" ht="15.75" customHeight="1">
      <c r="A76" s="4"/>
      <c r="C76" s="5" t="s">
        <v>2435</v>
      </c>
      <c r="E76" s="3"/>
      <c r="F76" s="4"/>
    </row>
    <row r="77" spans="1:6" ht="6.75" customHeight="1">
      <c r="A77" s="4"/>
      <c r="E77" s="3"/>
      <c r="F77" s="4"/>
    </row>
    <row r="78" spans="1:3" ht="15.75" customHeight="1">
      <c r="A78" s="4" t="s">
        <v>636</v>
      </c>
      <c r="C78" s="5"/>
    </row>
    <row r="79" spans="3:6" ht="5.25" customHeight="1">
      <c r="C79" s="4"/>
      <c r="F79" s="4"/>
    </row>
    <row r="80" spans="1:10" ht="15.75" customHeight="1">
      <c r="A80" s="10" t="s">
        <v>2436</v>
      </c>
      <c r="B80" s="11">
        <f>+J63</f>
        <v>19247.399999999998</v>
      </c>
      <c r="C80" s="23" t="s">
        <v>704</v>
      </c>
      <c r="G80" s="10" t="s">
        <v>2437</v>
      </c>
      <c r="H80" s="11">
        <f>+I51</f>
        <v>1325.359400733194</v>
      </c>
      <c r="I80" s="23" t="s">
        <v>704</v>
      </c>
      <c r="J80" s="2"/>
    </row>
    <row r="81" spans="5:6" ht="5.25" customHeight="1">
      <c r="E81" s="3"/>
      <c r="F81" s="4"/>
    </row>
    <row r="82" spans="1:6" ht="15.75" customHeight="1">
      <c r="A82" s="4" t="s">
        <v>2438</v>
      </c>
      <c r="E82" s="3"/>
      <c r="F82" s="4"/>
    </row>
    <row r="83" spans="5:6" ht="5.25" customHeight="1">
      <c r="E83" s="3"/>
      <c r="F83" s="4"/>
    </row>
    <row r="84" spans="1:5" ht="15.75" customHeight="1">
      <c r="A84" s="9" t="s">
        <v>503</v>
      </c>
      <c r="B84" s="10"/>
      <c r="C84" s="11">
        <f>+SQRT(B80^2+H80^2)</f>
        <v>19292.97759033353</v>
      </c>
      <c r="D84" s="9" t="s">
        <v>704</v>
      </c>
      <c r="E84" s="15"/>
    </row>
    <row r="85" spans="1:6" ht="6" customHeight="1">
      <c r="A85" s="12"/>
      <c r="B85" s="12"/>
      <c r="C85" s="12"/>
      <c r="E85" s="3"/>
      <c r="F85" s="4"/>
    </row>
    <row r="86" spans="1:6" ht="15.75" customHeight="1">
      <c r="A86" s="4" t="s">
        <v>637</v>
      </c>
      <c r="E86" s="3"/>
      <c r="F86" s="4"/>
    </row>
    <row r="87" spans="1:6" ht="15.75" customHeight="1">
      <c r="A87" s="4" t="s">
        <v>638</v>
      </c>
      <c r="E87" s="3"/>
      <c r="F87" s="4"/>
    </row>
    <row r="88" spans="1:6" ht="15.75" customHeight="1">
      <c r="A88" s="4" t="s">
        <v>242</v>
      </c>
      <c r="E88" s="3"/>
      <c r="F88" s="4"/>
    </row>
    <row r="89" spans="1:6" ht="6.75" customHeight="1">
      <c r="A89" s="4"/>
      <c r="E89" s="3"/>
      <c r="F89" s="4"/>
    </row>
    <row r="90" spans="1:6" ht="15.75" customHeight="1">
      <c r="A90" s="338" t="s">
        <v>2440</v>
      </c>
      <c r="E90" s="3"/>
      <c r="F90" s="4"/>
    </row>
    <row r="91" spans="1:6" ht="6.75" customHeight="1">
      <c r="A91" s="338"/>
      <c r="E91" s="3"/>
      <c r="F91" s="4"/>
    </row>
    <row r="92" spans="1:6" ht="15.75" customHeight="1">
      <c r="A92" s="4" t="s">
        <v>2439</v>
      </c>
      <c r="E92" s="3"/>
      <c r="F92" s="4"/>
    </row>
    <row r="93" spans="1:6" ht="15.75" customHeight="1">
      <c r="A93" s="4" t="s">
        <v>244</v>
      </c>
      <c r="E93" s="3"/>
      <c r="F93" s="4"/>
    </row>
    <row r="94" spans="1:6" ht="15.75" customHeight="1">
      <c r="A94" s="4" t="s">
        <v>245</v>
      </c>
      <c r="E94" s="3"/>
      <c r="F94" s="4"/>
    </row>
    <row r="95" spans="1:6" ht="15.75" customHeight="1">
      <c r="A95" s="4" t="s">
        <v>246</v>
      </c>
      <c r="E95" s="3"/>
      <c r="F95" s="4"/>
    </row>
    <row r="96" spans="1:6" ht="15.75" customHeight="1">
      <c r="A96" s="4" t="s">
        <v>247</v>
      </c>
      <c r="E96" s="3"/>
      <c r="F96" s="4"/>
    </row>
    <row r="97" spans="1:6" ht="6.75" customHeight="1">
      <c r="A97" s="4"/>
      <c r="E97" s="3"/>
      <c r="F97" s="4"/>
    </row>
    <row r="98" spans="1:10" ht="15.75" customHeight="1">
      <c r="A98" s="4" t="s">
        <v>2441</v>
      </c>
      <c r="C98" s="3">
        <f>+(1/2)*PI()*K25^2/4*K26</f>
        <v>0.19634954084936207</v>
      </c>
      <c r="D98" s="4" t="s">
        <v>109</v>
      </c>
      <c r="G98" s="1" t="s">
        <v>2442</v>
      </c>
      <c r="I98" s="6">
        <f>+C98*B25</f>
        <v>1325.359400733194</v>
      </c>
      <c r="J98" s="22" t="s">
        <v>704</v>
      </c>
    </row>
    <row r="99" spans="1:10" ht="6.75" customHeight="1">
      <c r="A99" s="4"/>
      <c r="C99" s="3"/>
      <c r="D99" s="4"/>
      <c r="I99" s="6"/>
      <c r="J99" s="22"/>
    </row>
    <row r="100" spans="1:10" ht="15.75" customHeight="1">
      <c r="A100" s="4" t="s">
        <v>639</v>
      </c>
      <c r="C100" s="3"/>
      <c r="D100" s="4"/>
      <c r="I100" s="6"/>
      <c r="J100" s="22"/>
    </row>
    <row r="101" spans="1:10" ht="6.75" customHeight="1">
      <c r="A101" s="4"/>
      <c r="C101" s="3"/>
      <c r="D101" s="4"/>
      <c r="I101" s="6"/>
      <c r="J101" s="22"/>
    </row>
    <row r="102" spans="1:6" ht="15.75" customHeight="1">
      <c r="A102" s="4" t="s">
        <v>640</v>
      </c>
      <c r="E102" s="3"/>
      <c r="F102" s="4"/>
    </row>
    <row r="103" spans="1:6" ht="15.75" customHeight="1">
      <c r="A103" s="4" t="s">
        <v>582</v>
      </c>
      <c r="E103" s="3"/>
      <c r="F103" s="4"/>
    </row>
    <row r="104" spans="1:6" ht="6.75" customHeight="1">
      <c r="A104" s="4"/>
      <c r="E104" s="3"/>
      <c r="F104" s="4"/>
    </row>
    <row r="105" spans="1:10" ht="15.75" customHeight="1">
      <c r="A105" s="92" t="s">
        <v>1114</v>
      </c>
      <c r="E105" s="3"/>
      <c r="F105" s="4"/>
      <c r="H105" s="92" t="s">
        <v>1115</v>
      </c>
      <c r="J105" s="4"/>
    </row>
    <row r="106" spans="1:6" ht="6.75" customHeight="1">
      <c r="A106" s="92"/>
      <c r="E106" s="3"/>
      <c r="F106" s="4"/>
    </row>
    <row r="107" spans="1:11" ht="15.75" customHeight="1">
      <c r="A107" s="4" t="s">
        <v>1531</v>
      </c>
      <c r="C107" s="3">
        <f>+B37-H25+E26</f>
        <v>4.351466666666667</v>
      </c>
      <c r="D107" s="4" t="s">
        <v>699</v>
      </c>
      <c r="E107" s="3"/>
      <c r="F107" s="4"/>
      <c r="H107" s="4" t="s">
        <v>1532</v>
      </c>
      <c r="J107" s="6">
        <f>+C107*B25</f>
        <v>29372.4</v>
      </c>
      <c r="K107" s="4" t="s">
        <v>700</v>
      </c>
    </row>
    <row r="108" spans="1:6" ht="6.75" customHeight="1">
      <c r="A108" s="4"/>
      <c r="E108" s="3"/>
      <c r="F108" s="4"/>
    </row>
    <row r="109" spans="1:8" ht="15.75" customHeight="1">
      <c r="A109" s="4" t="s">
        <v>2444</v>
      </c>
      <c r="B109" s="4"/>
      <c r="C109" s="337"/>
      <c r="E109" s="3"/>
      <c r="F109" s="4"/>
      <c r="H109" s="4" t="s">
        <v>2445</v>
      </c>
    </row>
    <row r="110" spans="2:8" ht="6.75" customHeight="1">
      <c r="B110" s="4"/>
      <c r="E110" s="3"/>
      <c r="F110" s="4"/>
      <c r="H110" s="75"/>
    </row>
    <row r="111" spans="1:11" ht="15.75" customHeight="1">
      <c r="A111" s="1" t="s">
        <v>2448</v>
      </c>
      <c r="B111" s="3">
        <f>+K26*K25</f>
        <v>1</v>
      </c>
      <c r="C111" s="4" t="s">
        <v>108</v>
      </c>
      <c r="E111" s="3"/>
      <c r="F111" s="4"/>
      <c r="H111" s="4" t="s">
        <v>1544</v>
      </c>
      <c r="J111" s="6">
        <f>+J107*B111</f>
        <v>29372.4</v>
      </c>
      <c r="K111" s="22" t="s">
        <v>704</v>
      </c>
    </row>
    <row r="112" spans="1:6" ht="6.75" customHeight="1">
      <c r="A112" s="4"/>
      <c r="E112" s="3"/>
      <c r="F112" s="4"/>
    </row>
    <row r="113" spans="1:8" ht="15.75" customHeight="1">
      <c r="A113" s="4"/>
      <c r="E113" s="3"/>
      <c r="F113" s="4"/>
      <c r="H113" s="4" t="s">
        <v>2447</v>
      </c>
    </row>
    <row r="114" spans="1:8" ht="15.75" customHeight="1">
      <c r="A114" s="4"/>
      <c r="E114" s="3"/>
      <c r="F114" s="4"/>
      <c r="H114" s="4" t="s">
        <v>2446</v>
      </c>
    </row>
    <row r="115" spans="1:8" ht="15.75" customHeight="1">
      <c r="A115" s="4"/>
      <c r="E115" s="3"/>
      <c r="F115" s="4"/>
      <c r="H115" s="4" t="s">
        <v>1116</v>
      </c>
    </row>
    <row r="116" spans="1:6" ht="6" customHeight="1">
      <c r="A116" s="4"/>
      <c r="E116" s="3"/>
      <c r="F116" s="4"/>
    </row>
    <row r="117" spans="1:6" ht="15.75" customHeight="1">
      <c r="A117" s="4" t="s">
        <v>495</v>
      </c>
      <c r="E117" s="3"/>
      <c r="F117" s="4"/>
    </row>
    <row r="118" spans="1:6" ht="15.75" customHeight="1">
      <c r="A118" s="4" t="s">
        <v>1117</v>
      </c>
      <c r="E118" s="3"/>
      <c r="F118" s="4"/>
    </row>
    <row r="119" spans="5:6" ht="6" customHeight="1">
      <c r="E119" s="3"/>
      <c r="F119" s="4"/>
    </row>
    <row r="120" spans="4:6" ht="15.75" customHeight="1">
      <c r="D120" s="5" t="s">
        <v>1769</v>
      </c>
      <c r="F120" s="4"/>
    </row>
    <row r="121" spans="1:6" ht="6" customHeight="1">
      <c r="A121" s="338"/>
      <c r="F121" s="4"/>
    </row>
    <row r="122" spans="1:6" ht="15.75" customHeight="1">
      <c r="A122" s="4" t="s">
        <v>496</v>
      </c>
      <c r="D122" s="5" t="s">
        <v>497</v>
      </c>
      <c r="F122" s="4"/>
    </row>
    <row r="123" spans="5:6" ht="6" customHeight="1">
      <c r="E123" s="3"/>
      <c r="F123" s="4"/>
    </row>
    <row r="124" spans="1:6" ht="15.75" customHeight="1">
      <c r="A124" s="4" t="s">
        <v>1120</v>
      </c>
      <c r="E124" s="3"/>
      <c r="F124" s="4"/>
    </row>
    <row r="125" spans="5:6" ht="6" customHeight="1">
      <c r="E125" s="3"/>
      <c r="F125" s="4"/>
    </row>
    <row r="126" spans="1:10" ht="15.75" customHeight="1">
      <c r="A126" s="10" t="s">
        <v>499</v>
      </c>
      <c r="B126" s="11">
        <f>+J111</f>
        <v>29372.4</v>
      </c>
      <c r="C126" s="23" t="s">
        <v>704</v>
      </c>
      <c r="G126" s="10" t="s">
        <v>500</v>
      </c>
      <c r="H126" s="11">
        <f>+I98</f>
        <v>1325.359400733194</v>
      </c>
      <c r="I126" s="23" t="s">
        <v>704</v>
      </c>
      <c r="J126" s="2"/>
    </row>
    <row r="127" spans="5:6" ht="6.75" customHeight="1">
      <c r="E127" s="3"/>
      <c r="F127" s="4"/>
    </row>
    <row r="128" spans="1:6" ht="15.75" customHeight="1">
      <c r="A128" s="4" t="s">
        <v>501</v>
      </c>
      <c r="E128" s="3"/>
      <c r="F128" s="4"/>
    </row>
    <row r="129" spans="5:6" ht="6.75" customHeight="1">
      <c r="E129" s="3"/>
      <c r="F129" s="4"/>
    </row>
    <row r="130" spans="1:5" ht="15.75" customHeight="1">
      <c r="A130" s="9" t="s">
        <v>502</v>
      </c>
      <c r="B130" s="10"/>
      <c r="C130" s="11">
        <f>+SQRT(B126^2+H126^2)</f>
        <v>29402.28663388465</v>
      </c>
      <c r="D130" s="9" t="s">
        <v>704</v>
      </c>
      <c r="E130" s="15"/>
    </row>
    <row r="131" spans="1:6" ht="6.75" customHeight="1">
      <c r="A131" s="12"/>
      <c r="B131" s="12"/>
      <c r="C131" s="12"/>
      <c r="E131" s="3"/>
      <c r="F131" s="4"/>
    </row>
    <row r="132" spans="1:6" ht="15.75" customHeight="1">
      <c r="A132" s="4" t="s">
        <v>1118</v>
      </c>
      <c r="E132" s="3"/>
      <c r="F132" s="4"/>
    </row>
    <row r="133" spans="1:6" ht="15.75" customHeight="1">
      <c r="A133" s="4" t="s">
        <v>1119</v>
      </c>
      <c r="E133" s="3"/>
      <c r="F133" s="4"/>
    </row>
    <row r="134" spans="1:6" ht="6" customHeight="1">
      <c r="A134" s="4"/>
      <c r="E134" s="3"/>
      <c r="F134" s="4"/>
    </row>
    <row r="135" spans="1:6" ht="15.75" customHeight="1">
      <c r="A135" s="338" t="s">
        <v>504</v>
      </c>
      <c r="E135" s="3"/>
      <c r="F135" s="4"/>
    </row>
    <row r="136" spans="1:6" ht="6" customHeight="1">
      <c r="A136" s="4"/>
      <c r="E136" s="3"/>
      <c r="F136" s="4"/>
    </row>
    <row r="137" spans="1:6" ht="15.75" customHeight="1">
      <c r="A137" s="4" t="s">
        <v>1121</v>
      </c>
      <c r="E137" s="3"/>
      <c r="F137" s="4"/>
    </row>
    <row r="138" spans="1:6" ht="15.75" customHeight="1">
      <c r="A138" s="4" t="s">
        <v>1122</v>
      </c>
      <c r="E138" s="3"/>
      <c r="F138" s="4"/>
    </row>
    <row r="139" spans="1:6" ht="15.75" customHeight="1">
      <c r="A139" s="4" t="s">
        <v>1123</v>
      </c>
      <c r="E139" s="3"/>
      <c r="F139" s="4"/>
    </row>
    <row r="140" spans="1:6" ht="15.75" customHeight="1">
      <c r="A140" s="4" t="s">
        <v>1818</v>
      </c>
      <c r="E140" s="3"/>
      <c r="F140" s="4"/>
    </row>
    <row r="141" spans="1:6" ht="6" customHeight="1">
      <c r="A141" s="4"/>
      <c r="E141" s="3"/>
      <c r="F141" s="4"/>
    </row>
    <row r="142" spans="1:6" ht="15.75" customHeight="1">
      <c r="A142" s="4" t="s">
        <v>505</v>
      </c>
      <c r="B142" s="4"/>
      <c r="C142" s="337"/>
      <c r="E142" s="3"/>
      <c r="F142" s="4"/>
    </row>
    <row r="143" spans="2:6" ht="6.75" customHeight="1">
      <c r="B143" s="4"/>
      <c r="E143" s="3"/>
      <c r="F143" s="4"/>
    </row>
    <row r="144" spans="1:6" ht="15.75" customHeight="1">
      <c r="A144" s="1" t="s">
        <v>2427</v>
      </c>
      <c r="B144" s="3">
        <f>+C63</f>
        <v>1</v>
      </c>
      <c r="C144" s="4" t="s">
        <v>108</v>
      </c>
      <c r="E144" s="3"/>
      <c r="F144" s="4"/>
    </row>
    <row r="145" spans="2:6" ht="6.75" customHeight="1">
      <c r="B145" s="3"/>
      <c r="C145" s="4"/>
      <c r="E145" s="3"/>
      <c r="F145" s="4"/>
    </row>
    <row r="146" spans="1:10" ht="15.75" customHeight="1">
      <c r="A146" s="92" t="s">
        <v>1124</v>
      </c>
      <c r="E146" s="3"/>
      <c r="F146" s="4"/>
      <c r="H146" s="92" t="s">
        <v>632</v>
      </c>
      <c r="J146" s="4"/>
    </row>
    <row r="147" spans="1:6" ht="6.75" customHeight="1">
      <c r="A147" s="92"/>
      <c r="E147" s="3"/>
      <c r="F147" s="4"/>
    </row>
    <row r="148" spans="1:11" ht="15.75" customHeight="1">
      <c r="A148" s="1" t="s">
        <v>2424</v>
      </c>
      <c r="B148" s="3">
        <f>+C59</f>
        <v>2.8514666666666666</v>
      </c>
      <c r="C148" s="4" t="s">
        <v>699</v>
      </c>
      <c r="E148" s="3"/>
      <c r="F148" s="4"/>
      <c r="H148" s="4" t="s">
        <v>2425</v>
      </c>
      <c r="J148" s="6">
        <f>+J59</f>
        <v>19247.399999999998</v>
      </c>
      <c r="K148" s="4" t="s">
        <v>700</v>
      </c>
    </row>
    <row r="149" spans="1:6" ht="6.75" customHeight="1">
      <c r="A149" s="4"/>
      <c r="E149" s="3"/>
      <c r="F149" s="4"/>
    </row>
    <row r="150" spans="1:6" ht="15.75" customHeight="1">
      <c r="A150" s="4" t="s">
        <v>506</v>
      </c>
      <c r="E150" s="3"/>
      <c r="F150" s="4"/>
    </row>
    <row r="151" spans="2:7" ht="6" customHeight="1">
      <c r="B151" s="3"/>
      <c r="C151" s="4"/>
      <c r="E151" s="3"/>
      <c r="F151" s="4"/>
      <c r="G151" s="75"/>
    </row>
    <row r="152" spans="1:6" ht="15.75" customHeight="1">
      <c r="A152" s="10" t="s">
        <v>1545</v>
      </c>
      <c r="B152" s="11">
        <f>+J148*B144</f>
        <v>19247.399999999998</v>
      </c>
      <c r="C152" s="9" t="s">
        <v>704</v>
      </c>
      <c r="E152" s="4" t="s">
        <v>507</v>
      </c>
      <c r="F152" s="4"/>
    </row>
    <row r="153" spans="2:6" ht="15.75" customHeight="1">
      <c r="B153" s="6"/>
      <c r="C153" s="4"/>
      <c r="E153" s="4" t="s">
        <v>508</v>
      </c>
      <c r="F153" s="4"/>
    </row>
    <row r="154" spans="1:6" ht="15.75" customHeight="1">
      <c r="A154" s="4"/>
      <c r="E154" s="4" t="s">
        <v>1125</v>
      </c>
      <c r="F154" s="4"/>
    </row>
    <row r="155" spans="2:8" s="12" customFormat="1" ht="6" customHeight="1">
      <c r="B155" s="13"/>
      <c r="C155" s="14"/>
      <c r="E155" s="15"/>
      <c r="F155" s="14"/>
      <c r="H155" s="1"/>
    </row>
    <row r="156" spans="1:8" s="12" customFormat="1" ht="15.75" customHeight="1">
      <c r="A156" s="14" t="s">
        <v>1126</v>
      </c>
      <c r="B156" s="13"/>
      <c r="C156" s="14"/>
      <c r="E156" s="15"/>
      <c r="F156" s="14"/>
      <c r="G156" s="4"/>
      <c r="H156" s="1"/>
    </row>
    <row r="157" spans="1:8" s="12" customFormat="1" ht="15.75" customHeight="1">
      <c r="A157" s="14" t="s">
        <v>1127</v>
      </c>
      <c r="B157" s="13"/>
      <c r="C157" s="14"/>
      <c r="E157" s="15"/>
      <c r="F157" s="14"/>
      <c r="G157" s="4"/>
      <c r="H157" s="1"/>
    </row>
    <row r="158" spans="1:8" s="12" customFormat="1" ht="15.75" customHeight="1">
      <c r="A158" s="14" t="s">
        <v>2098</v>
      </c>
      <c r="B158" s="13"/>
      <c r="C158" s="14"/>
      <c r="E158" s="15"/>
      <c r="F158" s="14"/>
      <c r="G158" s="4"/>
      <c r="H158" s="1"/>
    </row>
    <row r="159" spans="1:8" s="12" customFormat="1" ht="15.75" customHeight="1">
      <c r="A159" s="14" t="s">
        <v>2099</v>
      </c>
      <c r="B159" s="13"/>
      <c r="C159" s="14"/>
      <c r="E159" s="15"/>
      <c r="F159" s="14"/>
      <c r="G159" s="4"/>
      <c r="H159" s="1"/>
    </row>
    <row r="160" spans="1:8" s="12" customFormat="1" ht="6" customHeight="1">
      <c r="A160" s="84"/>
      <c r="B160" s="13"/>
      <c r="C160" s="14"/>
      <c r="E160" s="15"/>
      <c r="F160" s="14"/>
      <c r="G160" s="4"/>
      <c r="H160" s="1"/>
    </row>
    <row r="161" spans="1:7" s="12" customFormat="1" ht="15.75" customHeight="1">
      <c r="A161" s="14" t="s">
        <v>2100</v>
      </c>
      <c r="B161" s="13"/>
      <c r="C161" s="14"/>
      <c r="E161" s="15"/>
      <c r="F161" s="14"/>
      <c r="G161" s="4"/>
    </row>
    <row r="162" spans="1:7" s="12" customFormat="1" ht="15.75" customHeight="1">
      <c r="A162" s="14" t="s">
        <v>509</v>
      </c>
      <c r="B162" s="13"/>
      <c r="C162" s="14"/>
      <c r="E162" s="15"/>
      <c r="F162" s="14"/>
      <c r="G162" s="4"/>
    </row>
    <row r="163" spans="1:12" s="12" customFormat="1" ht="15.75" customHeight="1">
      <c r="A163" s="14" t="s">
        <v>511</v>
      </c>
      <c r="B163" s="13"/>
      <c r="C163" s="14"/>
      <c r="E163" s="15"/>
      <c r="F163" s="14"/>
      <c r="G163" s="4"/>
      <c r="H163" s="4" t="s">
        <v>510</v>
      </c>
      <c r="K163" s="115">
        <f>+B148*K25*K26-(1/4)*PI()*(K25^2)/4*K26</f>
        <v>2.7532918962419854</v>
      </c>
      <c r="L163" s="4" t="s">
        <v>109</v>
      </c>
    </row>
    <row r="164" spans="1:7" s="12" customFormat="1" ht="15.75" customHeight="1">
      <c r="A164" s="14" t="s">
        <v>513</v>
      </c>
      <c r="B164" s="13"/>
      <c r="C164" s="14"/>
      <c r="E164" s="15"/>
      <c r="F164" s="14"/>
      <c r="G164" s="4"/>
    </row>
    <row r="165" spans="1:11" s="12" customFormat="1" ht="15.75" customHeight="1">
      <c r="A165" s="14" t="s">
        <v>514</v>
      </c>
      <c r="B165" s="13"/>
      <c r="C165" s="14"/>
      <c r="E165" s="15"/>
      <c r="F165" s="14"/>
      <c r="G165" s="4"/>
      <c r="H165" s="4" t="s">
        <v>512</v>
      </c>
      <c r="J165" s="13">
        <f>+B25*K163</f>
        <v>18584.7202996334</v>
      </c>
      <c r="K165" s="4" t="s">
        <v>704</v>
      </c>
    </row>
    <row r="166" spans="1:11" s="12" customFormat="1" ht="6" customHeight="1">
      <c r="A166" s="14"/>
      <c r="B166" s="13"/>
      <c r="C166" s="14"/>
      <c r="E166" s="15"/>
      <c r="F166" s="14"/>
      <c r="G166" s="4"/>
      <c r="H166" s="4"/>
      <c r="J166" s="13"/>
      <c r="K166" s="4"/>
    </row>
    <row r="167" spans="1:7" s="12" customFormat="1" ht="15.75" customHeight="1">
      <c r="A167" s="14" t="s">
        <v>2101</v>
      </c>
      <c r="B167" s="13"/>
      <c r="C167" s="14"/>
      <c r="E167" s="15"/>
      <c r="F167" s="14"/>
      <c r="G167" s="4"/>
    </row>
    <row r="168" spans="1:7" s="12" customFormat="1" ht="15.75" customHeight="1">
      <c r="A168" s="14" t="s">
        <v>1804</v>
      </c>
      <c r="B168" s="13"/>
      <c r="C168" s="14"/>
      <c r="E168" s="15"/>
      <c r="F168" s="14"/>
      <c r="G168" s="4"/>
    </row>
    <row r="169" spans="1:12" s="12" customFormat="1" ht="15.75" customHeight="1">
      <c r="A169" s="14" t="s">
        <v>1805</v>
      </c>
      <c r="B169" s="13"/>
      <c r="C169" s="14"/>
      <c r="E169" s="15"/>
      <c r="F169" s="14"/>
      <c r="G169" s="4"/>
      <c r="H169" s="4" t="s">
        <v>1808</v>
      </c>
      <c r="K169" s="130">
        <f>+B148*K25*K26+(1/4)*PI()*(K25^2)/4*K26</f>
        <v>2.9496414370913477</v>
      </c>
      <c r="L169" s="4" t="s">
        <v>109</v>
      </c>
    </row>
    <row r="170" spans="1:7" s="12" customFormat="1" ht="15.75" customHeight="1">
      <c r="A170" s="14" t="s">
        <v>1806</v>
      </c>
      <c r="B170" s="13"/>
      <c r="C170" s="14"/>
      <c r="E170" s="15"/>
      <c r="F170" s="14"/>
      <c r="G170" s="4"/>
    </row>
    <row r="171" spans="1:11" s="12" customFormat="1" ht="15.75" customHeight="1">
      <c r="A171" s="14" t="s">
        <v>1807</v>
      </c>
      <c r="B171" s="13"/>
      <c r="C171" s="14"/>
      <c r="E171" s="15"/>
      <c r="F171" s="14"/>
      <c r="G171" s="4"/>
      <c r="H171" s="4" t="s">
        <v>1809</v>
      </c>
      <c r="J171" s="13">
        <f>+B25*K169</f>
        <v>19910.079700366598</v>
      </c>
      <c r="K171" s="4" t="s">
        <v>704</v>
      </c>
    </row>
    <row r="172" spans="1:11" s="12" customFormat="1" ht="6" customHeight="1">
      <c r="A172" s="14"/>
      <c r="B172" s="13"/>
      <c r="C172" s="14"/>
      <c r="E172" s="15"/>
      <c r="F172" s="14"/>
      <c r="G172" s="4"/>
      <c r="H172" s="4"/>
      <c r="J172" s="13"/>
      <c r="K172" s="4"/>
    </row>
    <row r="173" spans="1:11" s="12" customFormat="1" ht="15.75" customHeight="1">
      <c r="A173" s="14" t="s">
        <v>1810</v>
      </c>
      <c r="B173" s="13"/>
      <c r="C173" s="14"/>
      <c r="E173" s="15"/>
      <c r="F173" s="14"/>
      <c r="G173" s="4"/>
      <c r="H173" s="4"/>
      <c r="J173" s="13"/>
      <c r="K173" s="4"/>
    </row>
    <row r="174" spans="1:8" s="12" customFormat="1" ht="6" customHeight="1">
      <c r="A174" s="84"/>
      <c r="B174" s="13"/>
      <c r="C174" s="14"/>
      <c r="E174" s="15"/>
      <c r="F174" s="14"/>
      <c r="G174" s="4"/>
      <c r="H174" s="1"/>
    </row>
    <row r="175" spans="1:8" s="12" customFormat="1" ht="15.75" customHeight="1">
      <c r="A175" s="9" t="s">
        <v>1811</v>
      </c>
      <c r="B175" s="11"/>
      <c r="C175" s="11">
        <f>+J165-J171</f>
        <v>-1325.3594007331958</v>
      </c>
      <c r="D175" s="9" t="s">
        <v>704</v>
      </c>
      <c r="E175" s="15"/>
      <c r="F175" s="14"/>
      <c r="G175" s="4"/>
      <c r="H175" s="1"/>
    </row>
    <row r="176" spans="1:8" s="12" customFormat="1" ht="6" customHeight="1">
      <c r="A176" s="84"/>
      <c r="B176" s="13"/>
      <c r="C176" s="14"/>
      <c r="E176" s="15"/>
      <c r="F176" s="14"/>
      <c r="G176" s="4"/>
      <c r="H176" s="1"/>
    </row>
    <row r="177" spans="1:8" s="12" customFormat="1" ht="15.75" customHeight="1">
      <c r="A177" s="14" t="s">
        <v>1812</v>
      </c>
      <c r="B177" s="13"/>
      <c r="C177" s="14"/>
      <c r="E177" s="15"/>
      <c r="F177" s="14"/>
      <c r="G177" s="4"/>
      <c r="H177" s="1"/>
    </row>
    <row r="178" spans="1:8" s="12" customFormat="1" ht="15.75" customHeight="1">
      <c r="A178" s="14" t="s">
        <v>1814</v>
      </c>
      <c r="B178" s="13"/>
      <c r="C178" s="14"/>
      <c r="E178" s="15"/>
      <c r="F178" s="14"/>
      <c r="G178" s="4"/>
      <c r="H178" s="1"/>
    </row>
    <row r="179" spans="1:8" s="12" customFormat="1" ht="15.75" customHeight="1">
      <c r="A179" s="14" t="s">
        <v>1813</v>
      </c>
      <c r="B179" s="13"/>
      <c r="C179" s="14"/>
      <c r="E179" s="15"/>
      <c r="F179" s="14"/>
      <c r="G179" s="4"/>
      <c r="H179" s="1"/>
    </row>
    <row r="180" spans="1:8" s="12" customFormat="1" ht="15.75" customHeight="1">
      <c r="A180" s="14" t="s">
        <v>2102</v>
      </c>
      <c r="B180" s="13"/>
      <c r="C180" s="14"/>
      <c r="E180" s="15"/>
      <c r="F180" s="14"/>
      <c r="G180" s="4"/>
      <c r="H180" s="1"/>
    </row>
    <row r="181" spans="1:8" s="12" customFormat="1" ht="15.75" customHeight="1">
      <c r="A181" s="14" t="s">
        <v>2103</v>
      </c>
      <c r="B181" s="13"/>
      <c r="C181" s="14"/>
      <c r="E181" s="15"/>
      <c r="F181" s="14"/>
      <c r="G181" s="4"/>
      <c r="H181" s="1"/>
    </row>
    <row r="182" spans="1:8" s="12" customFormat="1" ht="15.75" customHeight="1">
      <c r="A182" s="14" t="s">
        <v>1267</v>
      </c>
      <c r="B182" s="13"/>
      <c r="C182" s="14"/>
      <c r="E182" s="15"/>
      <c r="F182" s="14"/>
      <c r="G182" s="4"/>
      <c r="H182" s="1"/>
    </row>
    <row r="183" spans="2:6" s="12" customFormat="1" ht="6" customHeight="1">
      <c r="B183" s="13"/>
      <c r="C183" s="14"/>
      <c r="E183" s="15"/>
      <c r="F183" s="14"/>
    </row>
    <row r="184" spans="1:13" s="12" customFormat="1" ht="15.75" customHeight="1">
      <c r="A184" s="65" t="s">
        <v>1815</v>
      </c>
      <c r="B184" s="1"/>
      <c r="C184" s="1"/>
      <c r="D184" s="1"/>
      <c r="E184" s="3"/>
      <c r="F184" s="4"/>
      <c r="G184" s="1"/>
      <c r="H184" s="1"/>
      <c r="I184" s="1"/>
      <c r="J184" s="1"/>
      <c r="K184" s="1"/>
      <c r="L184" s="1"/>
      <c r="M184" s="1"/>
    </row>
    <row r="185" spans="1:13" s="12" customFormat="1" ht="6" customHeight="1">
      <c r="A185" s="4"/>
      <c r="B185" s="1"/>
      <c r="C185" s="1"/>
      <c r="D185" s="1"/>
      <c r="E185" s="3"/>
      <c r="F185" s="4"/>
      <c r="G185" s="1"/>
      <c r="H185" s="1"/>
      <c r="I185" s="1"/>
      <c r="J185" s="1"/>
      <c r="K185" s="1"/>
      <c r="L185" s="1"/>
      <c r="M185" s="1"/>
    </row>
    <row r="186" spans="1:13" s="12" customFormat="1" ht="15.75" customHeight="1">
      <c r="A186" s="4" t="s">
        <v>1170</v>
      </c>
      <c r="B186" s="1"/>
      <c r="C186" s="1"/>
      <c r="D186" s="1"/>
      <c r="E186" s="3"/>
      <c r="F186" s="4"/>
      <c r="G186" s="1"/>
      <c r="H186" s="1"/>
      <c r="I186" s="1"/>
      <c r="J186" s="1"/>
      <c r="K186" s="1"/>
      <c r="L186" s="1"/>
      <c r="M186" s="1"/>
    </row>
    <row r="187" spans="1:13" s="12" customFormat="1" ht="15.75" customHeight="1">
      <c r="A187" s="4" t="s">
        <v>2104</v>
      </c>
      <c r="B187" s="1"/>
      <c r="C187" s="1"/>
      <c r="D187" s="1"/>
      <c r="E187" s="3"/>
      <c r="F187" s="4"/>
      <c r="G187" s="1"/>
      <c r="H187" s="1"/>
      <c r="I187" s="1"/>
      <c r="J187" s="1"/>
      <c r="K187" s="1"/>
      <c r="L187" s="1"/>
      <c r="M187" s="1"/>
    </row>
    <row r="188" spans="1:13" s="12" customFormat="1" ht="15.75" customHeight="1">
      <c r="A188" s="4" t="s">
        <v>1817</v>
      </c>
      <c r="B188" s="1"/>
      <c r="C188" s="1"/>
      <c r="D188" s="1"/>
      <c r="E188" s="3"/>
      <c r="F188" s="4"/>
      <c r="G188" s="1"/>
      <c r="H188" s="1"/>
      <c r="I188" s="1"/>
      <c r="J188" s="1"/>
      <c r="K188" s="1"/>
      <c r="L188" s="1"/>
      <c r="M188" s="1"/>
    </row>
    <row r="189" spans="1:13" s="12" customFormat="1" ht="15.75" customHeight="1">
      <c r="A189" s="4" t="s">
        <v>1818</v>
      </c>
      <c r="B189" s="1"/>
      <c r="C189" s="1"/>
      <c r="D189" s="1"/>
      <c r="E189" s="3"/>
      <c r="F189" s="4"/>
      <c r="G189" s="1"/>
      <c r="H189" s="1"/>
      <c r="I189" s="1"/>
      <c r="J189" s="1"/>
      <c r="K189" s="1"/>
      <c r="L189" s="1"/>
      <c r="M189" s="1"/>
    </row>
    <row r="190" spans="1:13" s="12" customFormat="1" ht="6" customHeight="1">
      <c r="A190" s="4"/>
      <c r="B190" s="1"/>
      <c r="C190" s="1"/>
      <c r="D190" s="1"/>
      <c r="E190" s="3"/>
      <c r="F190" s="4"/>
      <c r="G190" s="1"/>
      <c r="H190" s="1"/>
      <c r="I190" s="1"/>
      <c r="J190" s="1"/>
      <c r="K190" s="1"/>
      <c r="L190" s="1"/>
      <c r="M190" s="1"/>
    </row>
    <row r="191" spans="1:13" s="12" customFormat="1" ht="15.75" customHeight="1">
      <c r="A191" s="4" t="s">
        <v>1819</v>
      </c>
      <c r="B191" s="4"/>
      <c r="C191" s="337"/>
      <c r="D191" s="1"/>
      <c r="E191" s="3"/>
      <c r="F191" s="4"/>
      <c r="G191" s="1"/>
      <c r="H191" s="1"/>
      <c r="I191" s="1"/>
      <c r="J191" s="1"/>
      <c r="K191" s="1"/>
      <c r="L191" s="1"/>
      <c r="M191" s="1"/>
    </row>
    <row r="192" spans="1:13" s="12" customFormat="1" ht="6" customHeight="1">
      <c r="A192" s="1"/>
      <c r="B192" s="4"/>
      <c r="C192" s="1"/>
      <c r="D192" s="1"/>
      <c r="E192" s="3"/>
      <c r="F192" s="4"/>
      <c r="G192" s="1"/>
      <c r="H192" s="1"/>
      <c r="I192" s="1"/>
      <c r="J192" s="1"/>
      <c r="K192" s="1"/>
      <c r="L192" s="1"/>
      <c r="M192" s="1"/>
    </row>
    <row r="193" spans="1:13" s="12" customFormat="1" ht="15.75" customHeight="1">
      <c r="A193" s="1" t="s">
        <v>2448</v>
      </c>
      <c r="B193" s="3">
        <f>+B111</f>
        <v>1</v>
      </c>
      <c r="C193" s="4" t="s">
        <v>108</v>
      </c>
      <c r="D193" s="1"/>
      <c r="E193" s="3"/>
      <c r="F193" s="4"/>
      <c r="G193" s="1"/>
      <c r="H193" s="1"/>
      <c r="I193" s="1"/>
      <c r="J193" s="1"/>
      <c r="K193" s="1"/>
      <c r="L193" s="1"/>
      <c r="M193" s="1"/>
    </row>
    <row r="194" spans="1:13" s="12" customFormat="1" ht="6" customHeight="1">
      <c r="A194" s="1"/>
      <c r="B194" s="3"/>
      <c r="C194" s="4"/>
      <c r="D194" s="1"/>
      <c r="E194" s="3"/>
      <c r="F194" s="4"/>
      <c r="G194" s="1"/>
      <c r="H194" s="1"/>
      <c r="I194" s="1"/>
      <c r="J194" s="1"/>
      <c r="K194" s="1"/>
      <c r="L194" s="1"/>
      <c r="M194" s="1"/>
    </row>
    <row r="195" spans="1:13" s="12" customFormat="1" ht="15.75" customHeight="1">
      <c r="A195" s="92" t="s">
        <v>2105</v>
      </c>
      <c r="B195" s="1"/>
      <c r="C195" s="1"/>
      <c r="D195" s="1"/>
      <c r="E195" s="3"/>
      <c r="F195" s="4"/>
      <c r="G195" s="1"/>
      <c r="H195" s="92" t="s">
        <v>1115</v>
      </c>
      <c r="I195" s="1"/>
      <c r="J195" s="4"/>
      <c r="K195" s="1"/>
      <c r="L195" s="1"/>
      <c r="M195" s="1"/>
    </row>
    <row r="196" spans="1:13" s="12" customFormat="1" ht="6" customHeight="1">
      <c r="A196" s="92"/>
      <c r="B196" s="1"/>
      <c r="C196" s="1"/>
      <c r="D196" s="1"/>
      <c r="E196" s="3"/>
      <c r="F196" s="4"/>
      <c r="G196" s="1"/>
      <c r="H196" s="1"/>
      <c r="I196" s="1"/>
      <c r="J196" s="1"/>
      <c r="K196" s="1"/>
      <c r="L196" s="1"/>
      <c r="M196" s="1"/>
    </row>
    <row r="197" spans="1:13" s="12" customFormat="1" ht="15.75" customHeight="1">
      <c r="A197" s="4" t="s">
        <v>1171</v>
      </c>
      <c r="C197" s="3">
        <f>+C107</f>
        <v>4.351466666666667</v>
      </c>
      <c r="D197" s="4" t="s">
        <v>699</v>
      </c>
      <c r="E197" s="3"/>
      <c r="F197" s="4"/>
      <c r="G197" s="1"/>
      <c r="H197" s="4" t="s">
        <v>2443</v>
      </c>
      <c r="I197" s="1"/>
      <c r="J197" s="6">
        <f>+J107</f>
        <v>29372.4</v>
      </c>
      <c r="K197" s="4" t="s">
        <v>700</v>
      </c>
      <c r="L197" s="1"/>
      <c r="M197" s="1"/>
    </row>
    <row r="198" spans="1:13" s="12" customFormat="1" ht="6" customHeight="1">
      <c r="A198" s="4"/>
      <c r="B198" s="1"/>
      <c r="C198" s="1"/>
      <c r="D198" s="1"/>
      <c r="E198" s="3"/>
      <c r="F198" s="4"/>
      <c r="G198" s="1"/>
      <c r="H198" s="1"/>
      <c r="I198" s="1"/>
      <c r="J198" s="1"/>
      <c r="K198" s="1"/>
      <c r="L198" s="1"/>
      <c r="M198" s="1"/>
    </row>
    <row r="199" spans="1:13" s="12" customFormat="1" ht="15.75" customHeight="1">
      <c r="A199" s="4" t="s">
        <v>1820</v>
      </c>
      <c r="B199" s="1"/>
      <c r="C199" s="1"/>
      <c r="D199" s="1"/>
      <c r="E199" s="3"/>
      <c r="F199" s="4"/>
      <c r="G199" s="1"/>
      <c r="H199" s="1"/>
      <c r="I199" s="1"/>
      <c r="J199" s="1"/>
      <c r="K199" s="1"/>
      <c r="L199" s="1"/>
      <c r="M199" s="1"/>
    </row>
    <row r="200" spans="1:13" s="12" customFormat="1" ht="6" customHeight="1">
      <c r="A200" s="1"/>
      <c r="B200" s="3"/>
      <c r="C200" s="4"/>
      <c r="D200" s="1"/>
      <c r="E200" s="3"/>
      <c r="F200" s="4"/>
      <c r="G200" s="75"/>
      <c r="H200" s="1"/>
      <c r="I200" s="1"/>
      <c r="J200" s="1"/>
      <c r="K200" s="1"/>
      <c r="L200" s="1"/>
      <c r="M200" s="1"/>
    </row>
    <row r="201" spans="1:13" s="12" customFormat="1" ht="15.75" customHeight="1">
      <c r="A201" s="10" t="s">
        <v>1546</v>
      </c>
      <c r="B201" s="11">
        <f>+J197*B193</f>
        <v>29372.4</v>
      </c>
      <c r="C201" s="9" t="s">
        <v>704</v>
      </c>
      <c r="D201" s="1"/>
      <c r="E201" s="4" t="s">
        <v>507</v>
      </c>
      <c r="F201" s="4"/>
      <c r="G201" s="1"/>
      <c r="H201" s="1"/>
      <c r="I201" s="1"/>
      <c r="J201" s="1"/>
      <c r="K201" s="1"/>
      <c r="L201" s="1"/>
      <c r="M201" s="1"/>
    </row>
    <row r="202" spans="1:13" s="12" customFormat="1" ht="15.75" customHeight="1">
      <c r="A202" s="1"/>
      <c r="B202" s="6"/>
      <c r="C202" s="4"/>
      <c r="D202" s="1"/>
      <c r="E202" s="4" t="s">
        <v>508</v>
      </c>
      <c r="F202" s="4"/>
      <c r="G202" s="1"/>
      <c r="H202" s="1"/>
      <c r="I202" s="1"/>
      <c r="J202" s="1"/>
      <c r="K202" s="1"/>
      <c r="L202" s="1"/>
      <c r="M202" s="1"/>
    </row>
    <row r="203" spans="1:13" s="12" customFormat="1" ht="15.75" customHeight="1">
      <c r="A203" s="4"/>
      <c r="B203" s="1"/>
      <c r="C203" s="1"/>
      <c r="D203" s="1"/>
      <c r="E203" s="4" t="s">
        <v>2106</v>
      </c>
      <c r="F203" s="4"/>
      <c r="G203" s="1"/>
      <c r="H203" s="1"/>
      <c r="I203" s="1"/>
      <c r="J203" s="1"/>
      <c r="K203" s="1"/>
      <c r="L203" s="1"/>
      <c r="M203" s="1"/>
    </row>
    <row r="204" spans="1:13" s="12" customFormat="1" ht="6" customHeight="1">
      <c r="A204" s="4"/>
      <c r="B204" s="1"/>
      <c r="C204" s="1"/>
      <c r="D204" s="1"/>
      <c r="E204" s="4"/>
      <c r="F204" s="4"/>
      <c r="G204" s="1"/>
      <c r="H204" s="1"/>
      <c r="I204" s="1"/>
      <c r="J204" s="1"/>
      <c r="K204" s="1"/>
      <c r="L204" s="1"/>
      <c r="M204" s="1"/>
    </row>
    <row r="205" spans="1:8" s="12" customFormat="1" ht="15.75" customHeight="1">
      <c r="A205" s="14" t="s">
        <v>2107</v>
      </c>
      <c r="B205" s="13"/>
      <c r="C205" s="14"/>
      <c r="E205" s="15"/>
      <c r="F205" s="14"/>
      <c r="G205" s="4"/>
      <c r="H205" s="1"/>
    </row>
    <row r="206" spans="1:8" s="12" customFormat="1" ht="15.75" customHeight="1">
      <c r="A206" s="14" t="s">
        <v>2108</v>
      </c>
      <c r="B206" s="13"/>
      <c r="C206" s="14"/>
      <c r="E206" s="15"/>
      <c r="F206" s="14"/>
      <c r="G206" s="4"/>
      <c r="H206" s="1"/>
    </row>
    <row r="207" spans="1:8" s="12" customFormat="1" ht="15.75" customHeight="1">
      <c r="A207" s="14" t="s">
        <v>2109</v>
      </c>
      <c r="B207" s="13"/>
      <c r="C207" s="14"/>
      <c r="E207" s="15"/>
      <c r="F207" s="14"/>
      <c r="G207" s="4"/>
      <c r="H207" s="1"/>
    </row>
    <row r="208" spans="1:8" s="12" customFormat="1" ht="15.75" customHeight="1">
      <c r="A208" s="14" t="s">
        <v>2111</v>
      </c>
      <c r="B208" s="13"/>
      <c r="C208" s="14"/>
      <c r="E208" s="15"/>
      <c r="F208" s="14"/>
      <c r="G208" s="4"/>
      <c r="H208" s="1"/>
    </row>
    <row r="209" spans="1:8" s="12" customFormat="1" ht="15.75" customHeight="1">
      <c r="A209" s="14" t="s">
        <v>2110</v>
      </c>
      <c r="B209" s="13"/>
      <c r="C209" s="14"/>
      <c r="E209" s="15"/>
      <c r="F209" s="14"/>
      <c r="G209" s="4"/>
      <c r="H209" s="1"/>
    </row>
    <row r="210" spans="1:8" s="12" customFormat="1" ht="6.75" customHeight="1">
      <c r="A210" s="84"/>
      <c r="B210" s="13"/>
      <c r="C210" s="14"/>
      <c r="E210" s="15"/>
      <c r="F210" s="14"/>
      <c r="G210" s="4"/>
      <c r="H210" s="1"/>
    </row>
    <row r="211" spans="1:7" s="12" customFormat="1" ht="15.75" customHeight="1">
      <c r="A211" s="14" t="s">
        <v>2112</v>
      </c>
      <c r="B211" s="13"/>
      <c r="C211" s="14"/>
      <c r="E211" s="15"/>
      <c r="F211" s="14"/>
      <c r="G211" s="4"/>
    </row>
    <row r="212" spans="1:7" s="12" customFormat="1" ht="15.75" customHeight="1">
      <c r="A212" s="14" t="s">
        <v>509</v>
      </c>
      <c r="B212" s="13"/>
      <c r="C212" s="14"/>
      <c r="E212" s="15"/>
      <c r="F212" s="14"/>
      <c r="G212" s="4"/>
    </row>
    <row r="213" spans="1:12" s="12" customFormat="1" ht="15.75" customHeight="1">
      <c r="A213" s="14" t="s">
        <v>1805</v>
      </c>
      <c r="B213" s="13"/>
      <c r="C213" s="14"/>
      <c r="E213" s="15"/>
      <c r="F213" s="14"/>
      <c r="G213" s="4"/>
      <c r="H213" s="4" t="s">
        <v>2500</v>
      </c>
      <c r="K213" s="115">
        <f>+C197*K25*K26-(1/4)*PI()*(K25^2)/4*K26</f>
        <v>4.253291896241986</v>
      </c>
      <c r="L213" s="4" t="s">
        <v>109</v>
      </c>
    </row>
    <row r="214" spans="1:7" s="12" customFormat="1" ht="15.75" customHeight="1">
      <c r="A214" s="14" t="s">
        <v>1821</v>
      </c>
      <c r="B214" s="13"/>
      <c r="C214" s="14"/>
      <c r="E214" s="15"/>
      <c r="F214" s="14"/>
      <c r="G214" s="4"/>
    </row>
    <row r="215" spans="1:11" s="12" customFormat="1" ht="15.75" customHeight="1">
      <c r="A215" s="14" t="s">
        <v>1822</v>
      </c>
      <c r="B215" s="13"/>
      <c r="C215" s="14"/>
      <c r="E215" s="15"/>
      <c r="F215" s="14"/>
      <c r="G215" s="4"/>
      <c r="H215" s="4" t="s">
        <v>2501</v>
      </c>
      <c r="J215" s="13">
        <f>+B25*K213</f>
        <v>28709.72029963341</v>
      </c>
      <c r="K215" s="4" t="s">
        <v>704</v>
      </c>
    </row>
    <row r="216" spans="1:11" s="12" customFormat="1" ht="6.75" customHeight="1">
      <c r="A216" s="14"/>
      <c r="B216" s="13"/>
      <c r="C216" s="14"/>
      <c r="E216" s="15"/>
      <c r="F216" s="14"/>
      <c r="G216" s="4"/>
      <c r="H216" s="4"/>
      <c r="J216" s="13"/>
      <c r="K216" s="4"/>
    </row>
    <row r="217" spans="1:7" s="12" customFormat="1" ht="15.75" customHeight="1">
      <c r="A217" s="14" t="s">
        <v>2113</v>
      </c>
      <c r="B217" s="13"/>
      <c r="C217" s="14"/>
      <c r="E217" s="15"/>
      <c r="F217" s="14"/>
      <c r="G217" s="4"/>
    </row>
    <row r="218" spans="1:7" s="12" customFormat="1" ht="15.75" customHeight="1">
      <c r="A218" s="14" t="s">
        <v>1804</v>
      </c>
      <c r="B218" s="13"/>
      <c r="C218" s="14"/>
      <c r="E218" s="15"/>
      <c r="F218" s="14"/>
      <c r="G218" s="4"/>
    </row>
    <row r="219" spans="1:12" s="12" customFormat="1" ht="15.75" customHeight="1">
      <c r="A219" s="14" t="s">
        <v>2502</v>
      </c>
      <c r="B219" s="13"/>
      <c r="C219" s="14"/>
      <c r="E219" s="15"/>
      <c r="F219" s="14"/>
      <c r="G219" s="4"/>
      <c r="H219" s="4" t="s">
        <v>2114</v>
      </c>
      <c r="K219" s="130">
        <f>+C197*K25*K26+(1/4)*PI()*(K25^2)/4*K26</f>
        <v>4.449641437091348</v>
      </c>
      <c r="L219" s="4" t="s">
        <v>109</v>
      </c>
    </row>
    <row r="220" spans="1:7" s="12" customFormat="1" ht="15.75" customHeight="1">
      <c r="A220" s="14" t="s">
        <v>2503</v>
      </c>
      <c r="B220" s="13"/>
      <c r="C220" s="14"/>
      <c r="E220" s="15"/>
      <c r="F220" s="14"/>
      <c r="G220" s="4"/>
    </row>
    <row r="221" spans="1:11" s="12" customFormat="1" ht="15.75" customHeight="1">
      <c r="A221" s="14" t="s">
        <v>2504</v>
      </c>
      <c r="B221" s="13"/>
      <c r="C221" s="14"/>
      <c r="E221" s="15"/>
      <c r="F221" s="14"/>
      <c r="G221" s="4"/>
      <c r="H221" s="4" t="s">
        <v>2115</v>
      </c>
      <c r="J221" s="13">
        <f>+B25*K219</f>
        <v>30035.079700366598</v>
      </c>
      <c r="K221" s="4" t="s">
        <v>704</v>
      </c>
    </row>
    <row r="222" spans="1:11" s="12" customFormat="1" ht="6.75" customHeight="1">
      <c r="A222" s="14"/>
      <c r="B222" s="13"/>
      <c r="C222" s="14"/>
      <c r="E222" s="15"/>
      <c r="F222" s="14"/>
      <c r="G222" s="4"/>
      <c r="H222" s="4"/>
      <c r="J222" s="13"/>
      <c r="K222" s="4"/>
    </row>
    <row r="223" spans="1:11" s="12" customFormat="1" ht="15.75" customHeight="1">
      <c r="A223" s="14" t="s">
        <v>2505</v>
      </c>
      <c r="B223" s="13"/>
      <c r="C223" s="14"/>
      <c r="E223" s="15"/>
      <c r="F223" s="14"/>
      <c r="G223" s="4"/>
      <c r="H223" s="4"/>
      <c r="J223" s="13"/>
      <c r="K223" s="4"/>
    </row>
    <row r="224" spans="1:8" s="12" customFormat="1" ht="6.75" customHeight="1">
      <c r="A224" s="84"/>
      <c r="B224" s="13"/>
      <c r="C224" s="14"/>
      <c r="E224" s="15"/>
      <c r="F224" s="14"/>
      <c r="G224" s="4"/>
      <c r="H224" s="1"/>
    </row>
    <row r="225" spans="1:8" s="12" customFormat="1" ht="15.75" customHeight="1">
      <c r="A225" s="9" t="s">
        <v>2116</v>
      </c>
      <c r="B225" s="11"/>
      <c r="C225" s="11">
        <f>+J221-J215</f>
        <v>1325.3594007331885</v>
      </c>
      <c r="D225" s="9" t="s">
        <v>704</v>
      </c>
      <c r="E225" s="15"/>
      <c r="F225" s="14"/>
      <c r="G225" s="4"/>
      <c r="H225" s="1"/>
    </row>
    <row r="226" spans="1:8" s="12" customFormat="1" ht="6.75" customHeight="1">
      <c r="A226" s="84"/>
      <c r="B226" s="13"/>
      <c r="C226" s="14"/>
      <c r="E226" s="15"/>
      <c r="F226" s="14"/>
      <c r="G226" s="4"/>
      <c r="H226" s="1"/>
    </row>
    <row r="227" spans="1:8" s="12" customFormat="1" ht="15.75" customHeight="1">
      <c r="A227" s="14" t="s">
        <v>2117</v>
      </c>
      <c r="B227" s="13"/>
      <c r="C227" s="14"/>
      <c r="E227" s="15"/>
      <c r="F227" s="14"/>
      <c r="G227" s="4"/>
      <c r="H227" s="1"/>
    </row>
    <row r="228" spans="1:8" s="12" customFormat="1" ht="15.75" customHeight="1">
      <c r="A228" s="14" t="s">
        <v>2506</v>
      </c>
      <c r="B228" s="13"/>
      <c r="C228" s="14"/>
      <c r="E228" s="15"/>
      <c r="F228" s="14"/>
      <c r="G228" s="4"/>
      <c r="H228" s="1"/>
    </row>
    <row r="229" spans="1:8" s="12" customFormat="1" ht="15.75" customHeight="1">
      <c r="A229" s="14" t="s">
        <v>1265</v>
      </c>
      <c r="B229" s="13"/>
      <c r="C229" s="14"/>
      <c r="E229" s="15"/>
      <c r="F229" s="14"/>
      <c r="G229" s="4"/>
      <c r="H229" s="1"/>
    </row>
    <row r="230" spans="1:8" s="12" customFormat="1" ht="15.75" customHeight="1">
      <c r="A230" s="14" t="s">
        <v>2118</v>
      </c>
      <c r="B230" s="13"/>
      <c r="C230" s="14"/>
      <c r="E230" s="15"/>
      <c r="F230" s="14"/>
      <c r="G230" s="4"/>
      <c r="H230" s="1"/>
    </row>
    <row r="231" spans="1:8" s="12" customFormat="1" ht="15.75" customHeight="1">
      <c r="A231" s="14" t="s">
        <v>2119</v>
      </c>
      <c r="B231" s="13"/>
      <c r="C231" s="14"/>
      <c r="E231" s="15"/>
      <c r="F231" s="14"/>
      <c r="G231" s="4"/>
      <c r="H231" s="1"/>
    </row>
    <row r="232" spans="1:8" s="12" customFormat="1" ht="15.75" customHeight="1">
      <c r="A232" s="14" t="s">
        <v>1266</v>
      </c>
      <c r="B232" s="13"/>
      <c r="C232" s="14"/>
      <c r="E232" s="15"/>
      <c r="F232" s="14"/>
      <c r="G232" s="4"/>
      <c r="H232" s="1"/>
    </row>
    <row r="233" spans="1:8" s="12" customFormat="1" ht="15.75" customHeight="1">
      <c r="A233" s="14" t="s">
        <v>1268</v>
      </c>
      <c r="B233" s="13"/>
      <c r="C233" s="14"/>
      <c r="E233" s="15"/>
      <c r="F233" s="14"/>
      <c r="G233" s="4"/>
      <c r="H233" s="1"/>
    </row>
    <row r="234" spans="1:14" ht="6" customHeight="1">
      <c r="A234" s="12"/>
      <c r="B234" s="13"/>
      <c r="C234" s="12"/>
      <c r="D234" s="12"/>
      <c r="E234" s="15"/>
      <c r="F234" s="14"/>
      <c r="G234" s="12"/>
      <c r="H234" s="12"/>
      <c r="I234" s="12"/>
      <c r="J234" s="12"/>
      <c r="K234" s="12"/>
      <c r="L234" s="12"/>
      <c r="M234" s="12"/>
      <c r="N234" s="12"/>
    </row>
    <row r="235" spans="1:14" ht="6" customHeight="1">
      <c r="A235" s="87"/>
      <c r="B235" s="87"/>
      <c r="C235" s="88"/>
      <c r="D235" s="87"/>
      <c r="E235" s="87"/>
      <c r="F235" s="88"/>
      <c r="G235" s="87"/>
      <c r="H235" s="87"/>
      <c r="I235" s="87"/>
      <c r="J235" s="87"/>
      <c r="K235" s="87"/>
      <c r="L235" s="87"/>
      <c r="M235" s="87"/>
      <c r="N235" s="12"/>
    </row>
    <row r="236" ht="6" customHeight="1"/>
    <row r="237" spans="1:13" ht="15.75" customHeight="1">
      <c r="A237" s="339" t="s">
        <v>1777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ht="6" customHeight="1"/>
    <row r="239" ht="15.75" customHeight="1">
      <c r="A239" s="5" t="s">
        <v>112</v>
      </c>
    </row>
    <row r="240" ht="6" customHeight="1"/>
    <row r="241" spans="1:12" ht="15.75" customHeight="1">
      <c r="A241" s="2" t="s">
        <v>698</v>
      </c>
      <c r="B241" s="1">
        <v>6750</v>
      </c>
      <c r="C241" s="4" t="s">
        <v>713</v>
      </c>
      <c r="D241" s="1" t="s">
        <v>1763</v>
      </c>
      <c r="E241" s="3">
        <v>1</v>
      </c>
      <c r="F241" s="4" t="s">
        <v>699</v>
      </c>
      <c r="G241" s="1" t="s">
        <v>2513</v>
      </c>
      <c r="H241" s="3">
        <v>2.1</v>
      </c>
      <c r="I241" s="4" t="s">
        <v>699</v>
      </c>
      <c r="J241" s="1" t="s">
        <v>2297</v>
      </c>
      <c r="K241" s="3">
        <v>0.5</v>
      </c>
      <c r="L241" s="4" t="s">
        <v>699</v>
      </c>
    </row>
    <row r="242" spans="1:12" ht="15.75" customHeight="1">
      <c r="A242" s="2" t="s">
        <v>2277</v>
      </c>
      <c r="B242" s="1">
        <v>133362</v>
      </c>
      <c r="C242" s="4" t="s">
        <v>713</v>
      </c>
      <c r="D242" s="1" t="s">
        <v>712</v>
      </c>
      <c r="E242" s="3">
        <v>2.5</v>
      </c>
      <c r="F242" s="4" t="s">
        <v>699</v>
      </c>
      <c r="G242" s="2" t="s">
        <v>702</v>
      </c>
      <c r="H242" s="3">
        <v>0.2</v>
      </c>
      <c r="I242" s="4" t="s">
        <v>699</v>
      </c>
      <c r="J242" s="1" t="s">
        <v>711</v>
      </c>
      <c r="K242" s="3">
        <v>2</v>
      </c>
      <c r="L242" s="4" t="s">
        <v>699</v>
      </c>
    </row>
    <row r="243" spans="1:6" ht="6" customHeight="1">
      <c r="A243" s="2"/>
      <c r="B243" s="3"/>
      <c r="C243" s="4"/>
      <c r="E243" s="3"/>
      <c r="F243" s="4"/>
    </row>
    <row r="244" spans="1:6" ht="15.75" customHeight="1">
      <c r="A244" s="5" t="s">
        <v>1923</v>
      </c>
      <c r="B244" s="3"/>
      <c r="C244" s="4"/>
      <c r="E244" s="3"/>
      <c r="F244" s="4"/>
    </row>
    <row r="245" spans="1:6" ht="6" customHeight="1">
      <c r="A245" s="2"/>
      <c r="B245" s="3"/>
      <c r="C245" s="4"/>
      <c r="E245" s="3"/>
      <c r="F245" s="4"/>
    </row>
    <row r="246" spans="1:6" ht="15.75" customHeight="1">
      <c r="A246" s="5" t="s">
        <v>113</v>
      </c>
      <c r="B246" s="3"/>
      <c r="C246" s="4"/>
      <c r="E246" s="3"/>
      <c r="F246" s="4"/>
    </row>
    <row r="247" spans="1:6" ht="6" customHeight="1">
      <c r="A247" s="5"/>
      <c r="B247" s="3"/>
      <c r="C247" s="4"/>
      <c r="E247" s="3"/>
      <c r="F247" s="4"/>
    </row>
    <row r="248" spans="1:6" ht="15.75" customHeight="1">
      <c r="A248" s="4" t="s">
        <v>2570</v>
      </c>
      <c r="B248" s="3"/>
      <c r="C248" s="4"/>
      <c r="E248" s="3"/>
      <c r="F248" s="4"/>
    </row>
    <row r="249" spans="1:6" ht="15.75" customHeight="1">
      <c r="A249" s="4" t="s">
        <v>2571</v>
      </c>
      <c r="B249" s="3"/>
      <c r="C249" s="4"/>
      <c r="E249" s="3"/>
      <c r="F249" s="4"/>
    </row>
    <row r="250" spans="1:6" ht="15.75" customHeight="1">
      <c r="A250" s="4" t="s">
        <v>2572</v>
      </c>
      <c r="B250" s="3"/>
      <c r="C250" s="4"/>
      <c r="E250" s="3"/>
      <c r="F250" s="4"/>
    </row>
    <row r="251" spans="1:6" ht="15.75" customHeight="1">
      <c r="A251" s="4" t="s">
        <v>2124</v>
      </c>
      <c r="B251" s="3"/>
      <c r="C251" s="4"/>
      <c r="E251" s="3"/>
      <c r="F251" s="4"/>
    </row>
    <row r="252" spans="1:6" ht="15.75" customHeight="1">
      <c r="A252" s="4" t="s">
        <v>2121</v>
      </c>
      <c r="B252" s="3"/>
      <c r="C252" s="4"/>
      <c r="E252" s="3"/>
      <c r="F252" s="4"/>
    </row>
    <row r="253" spans="1:6" ht="15.75" customHeight="1">
      <c r="A253" s="4"/>
      <c r="B253" s="3"/>
      <c r="C253" s="4"/>
      <c r="E253" s="3"/>
      <c r="F253" s="4"/>
    </row>
    <row r="254" spans="1:6" ht="15.75" customHeight="1">
      <c r="A254" s="1" t="s">
        <v>2120</v>
      </c>
      <c r="B254" s="6">
        <f>+-B242*H242</f>
        <v>-26672.4</v>
      </c>
      <c r="C254" s="4" t="s">
        <v>700</v>
      </c>
      <c r="D254" s="4" t="s">
        <v>2122</v>
      </c>
      <c r="F254" s="4"/>
    </row>
    <row r="255" spans="1:6" ht="15.75" customHeight="1">
      <c r="A255" s="4"/>
      <c r="B255" s="3"/>
      <c r="C255" s="4"/>
      <c r="D255" s="92" t="s">
        <v>2123</v>
      </c>
      <c r="F255" s="4"/>
    </row>
    <row r="256" ht="6" customHeight="1"/>
    <row r="257" spans="1:6" ht="15.75" customHeight="1">
      <c r="A257" s="1" t="s">
        <v>570</v>
      </c>
      <c r="B257" s="3">
        <f>B254/B241</f>
        <v>-3.9514666666666667</v>
      </c>
      <c r="C257" s="4" t="s">
        <v>699</v>
      </c>
      <c r="F257" s="4"/>
    </row>
    <row r="258" spans="1:6" ht="6" customHeight="1">
      <c r="A258" s="4"/>
      <c r="B258" s="3"/>
      <c r="C258" s="4"/>
      <c r="E258" s="3"/>
      <c r="F258" s="4"/>
    </row>
    <row r="259" spans="1:6" ht="15.75" customHeight="1">
      <c r="A259" s="4" t="s">
        <v>2573</v>
      </c>
      <c r="B259" s="3"/>
      <c r="C259" s="4"/>
      <c r="E259" s="3"/>
      <c r="F259" s="4"/>
    </row>
    <row r="260" spans="5:6" ht="6" customHeight="1">
      <c r="E260" s="3"/>
      <c r="F260" s="4"/>
    </row>
    <row r="261" spans="1:6" ht="15.75" customHeight="1">
      <c r="A261" s="338" t="s">
        <v>1926</v>
      </c>
      <c r="E261" s="3"/>
      <c r="F261" s="4"/>
    </row>
    <row r="262" spans="1:6" ht="6.75" customHeight="1">
      <c r="A262" s="5"/>
      <c r="E262" s="3"/>
      <c r="F262" s="4"/>
    </row>
    <row r="263" spans="1:6" ht="15.75" customHeight="1">
      <c r="A263" s="4" t="s">
        <v>2125</v>
      </c>
      <c r="E263" s="3"/>
      <c r="F263" s="4"/>
    </row>
    <row r="264" spans="1:6" ht="15.75" customHeight="1">
      <c r="A264" s="4" t="s">
        <v>230</v>
      </c>
      <c r="E264" s="3"/>
      <c r="F264" s="4"/>
    </row>
    <row r="265" spans="1:6" ht="15.75" customHeight="1">
      <c r="A265" s="4" t="s">
        <v>231</v>
      </c>
      <c r="E265" s="3"/>
      <c r="F265" s="4"/>
    </row>
    <row r="266" spans="1:6" ht="15.75" customHeight="1">
      <c r="A266" s="4" t="s">
        <v>2126</v>
      </c>
      <c r="E266" s="3"/>
      <c r="F266" s="4"/>
    </row>
    <row r="267" spans="1:6" ht="15.75" customHeight="1">
      <c r="A267" s="4" t="s">
        <v>2127</v>
      </c>
      <c r="E267" s="3"/>
      <c r="F267" s="4"/>
    </row>
    <row r="268" spans="1:6" ht="15.75" customHeight="1">
      <c r="A268" s="4" t="s">
        <v>2128</v>
      </c>
      <c r="E268" s="3"/>
      <c r="F268" s="4"/>
    </row>
    <row r="269" spans="1:6" ht="15.75" customHeight="1">
      <c r="A269" s="4" t="s">
        <v>232</v>
      </c>
      <c r="E269" s="3"/>
      <c r="F269" s="4"/>
    </row>
    <row r="270" spans="1:6" ht="15.75" customHeight="1">
      <c r="A270" s="4" t="s">
        <v>233</v>
      </c>
      <c r="E270" s="3"/>
      <c r="F270" s="4"/>
    </row>
    <row r="271" spans="1:6" ht="6" customHeight="1">
      <c r="A271" s="4"/>
      <c r="E271" s="3"/>
      <c r="F271" s="4"/>
    </row>
    <row r="272" spans="1:10" ht="15.75" customHeight="1">
      <c r="A272" s="4" t="s">
        <v>1927</v>
      </c>
      <c r="C272" s="3">
        <f>+(1/2)*PI()*K241^2/4*K242</f>
        <v>0.19634954084936207</v>
      </c>
      <c r="D272" s="4" t="s">
        <v>109</v>
      </c>
      <c r="G272" s="1" t="s">
        <v>1928</v>
      </c>
      <c r="I272" s="6">
        <f>+C272*B241</f>
        <v>1325.359400733194</v>
      </c>
      <c r="J272" s="22" t="s">
        <v>704</v>
      </c>
    </row>
    <row r="273" spans="1:10" ht="6" customHeight="1">
      <c r="A273" s="4"/>
      <c r="C273" s="3"/>
      <c r="D273" s="4"/>
      <c r="J273" s="22"/>
    </row>
    <row r="274" spans="1:10" ht="15.75" customHeight="1">
      <c r="A274" s="4" t="s">
        <v>2422</v>
      </c>
      <c r="C274" s="3"/>
      <c r="D274" s="4"/>
      <c r="J274" s="22"/>
    </row>
    <row r="275" spans="1:10" ht="6" customHeight="1">
      <c r="A275" s="4"/>
      <c r="C275" s="3"/>
      <c r="D275" s="4"/>
      <c r="J275" s="22"/>
    </row>
    <row r="276" spans="1:6" ht="15.75" customHeight="1">
      <c r="A276" s="4" t="s">
        <v>234</v>
      </c>
      <c r="E276" s="3"/>
      <c r="F276" s="4"/>
    </row>
    <row r="277" spans="1:6" ht="15.75" customHeight="1">
      <c r="A277" s="4" t="s">
        <v>235</v>
      </c>
      <c r="E277" s="3"/>
      <c r="F277" s="4"/>
    </row>
    <row r="278" spans="1:6" ht="6" customHeight="1">
      <c r="A278" s="4"/>
      <c r="E278" s="3"/>
      <c r="F278" s="4"/>
    </row>
    <row r="279" spans="1:10" ht="15.75" customHeight="1">
      <c r="A279" s="92" t="s">
        <v>2129</v>
      </c>
      <c r="E279" s="3"/>
      <c r="F279" s="4"/>
      <c r="H279" s="92" t="s">
        <v>632</v>
      </c>
      <c r="J279" s="4"/>
    </row>
    <row r="280" spans="1:6" ht="6" customHeight="1">
      <c r="A280" s="92"/>
      <c r="E280" s="3"/>
      <c r="F280" s="4"/>
    </row>
    <row r="281" spans="1:11" ht="15.75" customHeight="1">
      <c r="A281" s="4" t="s">
        <v>236</v>
      </c>
      <c r="C281" s="3">
        <f>-(ABS(B257)+H241-E241)</f>
        <v>-5.051466666666666</v>
      </c>
      <c r="D281" s="4" t="s">
        <v>699</v>
      </c>
      <c r="E281" s="3"/>
      <c r="F281" s="4"/>
      <c r="H281" s="4" t="s">
        <v>2425</v>
      </c>
      <c r="J281" s="6">
        <f>+C281*B241</f>
        <v>-34097.399999999994</v>
      </c>
      <c r="K281" s="4" t="s">
        <v>700</v>
      </c>
    </row>
    <row r="282" spans="1:6" ht="6" customHeight="1">
      <c r="A282" s="4"/>
      <c r="E282" s="3"/>
      <c r="F282" s="4"/>
    </row>
    <row r="283" spans="1:8" ht="15.75" customHeight="1">
      <c r="A283" s="4" t="s">
        <v>2426</v>
      </c>
      <c r="B283" s="4"/>
      <c r="C283" s="337"/>
      <c r="E283" s="3"/>
      <c r="F283" s="4"/>
      <c r="H283" s="4" t="s">
        <v>2429</v>
      </c>
    </row>
    <row r="284" spans="2:8" ht="6" customHeight="1">
      <c r="B284" s="4"/>
      <c r="E284" s="3"/>
      <c r="F284" s="4"/>
      <c r="H284" s="75"/>
    </row>
    <row r="285" spans="1:11" ht="15.75" customHeight="1">
      <c r="A285" s="1" t="s">
        <v>2427</v>
      </c>
      <c r="B285" s="3">
        <f>+K242*K241</f>
        <v>1</v>
      </c>
      <c r="C285" s="4" t="s">
        <v>108</v>
      </c>
      <c r="E285" s="3"/>
      <c r="F285" s="4"/>
      <c r="H285" s="4" t="s">
        <v>1543</v>
      </c>
      <c r="J285" s="6">
        <f>+J281*B285</f>
        <v>-34097.399999999994</v>
      </c>
      <c r="K285" s="22" t="s">
        <v>704</v>
      </c>
    </row>
    <row r="286" spans="1:10" ht="6" customHeight="1">
      <c r="A286" s="4"/>
      <c r="C286" s="3"/>
      <c r="D286" s="4"/>
      <c r="J286" s="22"/>
    </row>
    <row r="287" spans="1:10" ht="15.75" customHeight="1">
      <c r="A287" s="5" t="s">
        <v>237</v>
      </c>
      <c r="C287" s="3"/>
      <c r="D287" s="4"/>
      <c r="H287" s="4" t="s">
        <v>621</v>
      </c>
      <c r="J287" s="22"/>
    </row>
    <row r="288" spans="1:10" ht="15.75" customHeight="1">
      <c r="A288" s="4"/>
      <c r="C288" s="3"/>
      <c r="D288" s="4"/>
      <c r="H288" s="4" t="s">
        <v>2446</v>
      </c>
      <c r="J288" s="22"/>
    </row>
    <row r="289" spans="1:10" ht="15.75" customHeight="1">
      <c r="A289" s="4"/>
      <c r="C289" s="3"/>
      <c r="D289" s="4"/>
      <c r="H289" s="4" t="s">
        <v>2130</v>
      </c>
      <c r="J289" s="22"/>
    </row>
    <row r="290" spans="1:10" ht="15.75" customHeight="1">
      <c r="A290" s="4"/>
      <c r="C290" s="3"/>
      <c r="D290" s="4"/>
      <c r="H290" s="4" t="s">
        <v>622</v>
      </c>
      <c r="J290" s="22"/>
    </row>
    <row r="291" spans="1:10" ht="6" customHeight="1">
      <c r="A291" s="4"/>
      <c r="C291" s="3"/>
      <c r="D291" s="4"/>
      <c r="J291" s="22"/>
    </row>
    <row r="292" spans="1:8" ht="15.75" customHeight="1">
      <c r="A292" s="4" t="s">
        <v>238</v>
      </c>
      <c r="E292" s="3"/>
      <c r="F292" s="4"/>
      <c r="H292" s="4"/>
    </row>
    <row r="293" spans="1:8" ht="6" customHeight="1">
      <c r="A293" s="4"/>
      <c r="E293" s="3"/>
      <c r="F293" s="4"/>
      <c r="H293" s="4"/>
    </row>
    <row r="294" spans="1:8" ht="15.75" customHeight="1">
      <c r="A294" s="4"/>
      <c r="C294" s="5" t="s">
        <v>1764</v>
      </c>
      <c r="E294" s="3"/>
      <c r="F294" s="4"/>
      <c r="H294" s="4"/>
    </row>
    <row r="295" spans="1:6" ht="6" customHeight="1">
      <c r="A295" s="4"/>
      <c r="E295" s="3"/>
      <c r="F295" s="4"/>
    </row>
    <row r="296" spans="1:6" ht="15.75" customHeight="1">
      <c r="A296" s="4" t="s">
        <v>2131</v>
      </c>
      <c r="E296" s="3"/>
      <c r="F296" s="4"/>
    </row>
    <row r="297" spans="1:6" ht="15.75" customHeight="1">
      <c r="A297" s="4" t="s">
        <v>573</v>
      </c>
      <c r="E297" s="3"/>
      <c r="F297" s="4"/>
    </row>
    <row r="298" spans="1:10" ht="6" customHeight="1">
      <c r="A298" s="4"/>
      <c r="C298" s="3"/>
      <c r="D298" s="4"/>
      <c r="J298" s="22"/>
    </row>
    <row r="299" spans="1:10" ht="15.75" customHeight="1">
      <c r="A299" s="4"/>
      <c r="C299" s="5" t="s">
        <v>2435</v>
      </c>
      <c r="D299" s="4"/>
      <c r="F299" s="340" t="s">
        <v>243</v>
      </c>
      <c r="J299" s="22"/>
    </row>
    <row r="300" spans="1:10" ht="15.75" customHeight="1">
      <c r="A300" s="4"/>
      <c r="C300" s="5"/>
      <c r="D300" s="4"/>
      <c r="F300" s="4" t="s">
        <v>1538</v>
      </c>
      <c r="J300" s="22"/>
    </row>
    <row r="301" spans="1:10" ht="6" customHeight="1">
      <c r="A301" s="4"/>
      <c r="C301" s="3"/>
      <c r="D301" s="4"/>
      <c r="J301" s="22"/>
    </row>
    <row r="302" spans="1:10" ht="15.75" customHeight="1">
      <c r="A302" s="4" t="s">
        <v>239</v>
      </c>
      <c r="C302" s="3"/>
      <c r="D302" s="4"/>
      <c r="J302" s="22"/>
    </row>
    <row r="303" spans="1:10" ht="6" customHeight="1">
      <c r="A303" s="4"/>
      <c r="C303" s="3"/>
      <c r="D303" s="4"/>
      <c r="J303" s="22"/>
    </row>
    <row r="304" spans="1:10" ht="15.75" customHeight="1">
      <c r="A304" s="10" t="s">
        <v>240</v>
      </c>
      <c r="B304" s="11">
        <f>+ABS(J285)</f>
        <v>34097.399999999994</v>
      </c>
      <c r="C304" s="23" t="s">
        <v>704</v>
      </c>
      <c r="G304" s="10" t="s">
        <v>2437</v>
      </c>
      <c r="H304" s="11">
        <f>+I272</f>
        <v>1325.359400733194</v>
      </c>
      <c r="I304" s="23" t="s">
        <v>704</v>
      </c>
      <c r="J304" s="2"/>
    </row>
    <row r="305" spans="1:12" ht="6" customHeight="1">
      <c r="A305" s="12"/>
      <c r="B305" s="13"/>
      <c r="C305" s="25"/>
      <c r="D305" s="12"/>
      <c r="E305" s="12"/>
      <c r="F305" s="12"/>
      <c r="G305" s="12"/>
      <c r="H305" s="13"/>
      <c r="I305" s="25"/>
      <c r="J305" s="16"/>
      <c r="K305" s="12"/>
      <c r="L305" s="12"/>
    </row>
    <row r="306" spans="1:12" ht="15.75" customHeight="1">
      <c r="A306" s="14" t="s">
        <v>241</v>
      </c>
      <c r="B306" s="13"/>
      <c r="C306" s="25"/>
      <c r="D306" s="12"/>
      <c r="E306" s="12"/>
      <c r="F306" s="12"/>
      <c r="G306" s="12"/>
      <c r="H306" s="13"/>
      <c r="I306" s="25"/>
      <c r="J306" s="16"/>
      <c r="K306" s="12"/>
      <c r="L306" s="12"/>
    </row>
    <row r="307" spans="1:12" ht="6" customHeight="1">
      <c r="A307" s="12"/>
      <c r="B307" s="13"/>
      <c r="C307" s="25"/>
      <c r="D307" s="12"/>
      <c r="E307" s="12"/>
      <c r="F307" s="12"/>
      <c r="G307" s="12"/>
      <c r="H307" s="13"/>
      <c r="I307" s="25"/>
      <c r="J307" s="16"/>
      <c r="K307" s="12"/>
      <c r="L307" s="12"/>
    </row>
    <row r="308" spans="1:12" ht="15.75" customHeight="1">
      <c r="A308" s="9" t="s">
        <v>503</v>
      </c>
      <c r="B308" s="10"/>
      <c r="C308" s="11">
        <f>+SQRT(B304^2+H304^2)</f>
        <v>34123.14851096117</v>
      </c>
      <c r="D308" s="9" t="s">
        <v>704</v>
      </c>
      <c r="E308" s="12"/>
      <c r="F308" s="12"/>
      <c r="G308" s="12"/>
      <c r="H308" s="13"/>
      <c r="I308" s="25"/>
      <c r="J308" s="16"/>
      <c r="K308" s="12"/>
      <c r="L308" s="12"/>
    </row>
    <row r="309" spans="1:10" s="12" customFormat="1" ht="6" customHeight="1">
      <c r="A309" s="14"/>
      <c r="C309" s="13"/>
      <c r="D309" s="14"/>
      <c r="H309" s="13"/>
      <c r="I309" s="25"/>
      <c r="J309" s="16"/>
    </row>
    <row r="310" spans="1:10" s="12" customFormat="1" ht="15.75" customHeight="1">
      <c r="A310" s="4" t="s">
        <v>574</v>
      </c>
      <c r="C310" s="13"/>
      <c r="D310" s="14"/>
      <c r="H310" s="13"/>
      <c r="I310" s="25"/>
      <c r="J310" s="16"/>
    </row>
    <row r="311" spans="1:10" s="12" customFormat="1" ht="15.75" customHeight="1">
      <c r="A311" s="4" t="s">
        <v>575</v>
      </c>
      <c r="C311" s="13"/>
      <c r="D311" s="14"/>
      <c r="H311" s="13"/>
      <c r="I311" s="25"/>
      <c r="J311" s="16"/>
    </row>
    <row r="312" spans="1:10" s="12" customFormat="1" ht="6" customHeight="1">
      <c r="A312" s="14"/>
      <c r="C312" s="13"/>
      <c r="D312" s="14"/>
      <c r="H312" s="13"/>
      <c r="I312" s="25"/>
      <c r="J312" s="16"/>
    </row>
    <row r="313" spans="1:13" s="12" customFormat="1" ht="15.75" customHeight="1">
      <c r="A313" s="338" t="s">
        <v>2440</v>
      </c>
      <c r="B313" s="1"/>
      <c r="C313" s="1"/>
      <c r="D313" s="1"/>
      <c r="E313" s="3"/>
      <c r="F313" s="4"/>
      <c r="G313" s="1"/>
      <c r="H313" s="1"/>
      <c r="I313" s="1"/>
      <c r="J313" s="1"/>
      <c r="K313" s="1"/>
      <c r="L313" s="1"/>
      <c r="M313" s="1"/>
    </row>
    <row r="314" spans="1:13" s="12" customFormat="1" ht="6" customHeight="1">
      <c r="A314" s="338"/>
      <c r="B314" s="1"/>
      <c r="C314" s="1"/>
      <c r="D314" s="1"/>
      <c r="E314" s="3"/>
      <c r="F314" s="4"/>
      <c r="G314" s="1"/>
      <c r="H314" s="1"/>
      <c r="I314" s="1"/>
      <c r="J314" s="1"/>
      <c r="K314" s="1"/>
      <c r="L314" s="1"/>
      <c r="M314" s="1"/>
    </row>
    <row r="315" spans="1:13" s="12" customFormat="1" ht="15.75" customHeight="1">
      <c r="A315" s="4" t="s">
        <v>248</v>
      </c>
      <c r="B315" s="1"/>
      <c r="C315" s="1"/>
      <c r="D315" s="1"/>
      <c r="E315" s="3"/>
      <c r="F315" s="4"/>
      <c r="G315" s="1"/>
      <c r="H315" s="1"/>
      <c r="I315" s="1"/>
      <c r="J315" s="1"/>
      <c r="K315" s="1"/>
      <c r="L315" s="1"/>
      <c r="M315" s="1"/>
    </row>
    <row r="316" spans="1:13" s="12" customFormat="1" ht="15.75" customHeight="1">
      <c r="A316" s="4" t="s">
        <v>576</v>
      </c>
      <c r="B316" s="1"/>
      <c r="C316" s="1"/>
      <c r="D316" s="1"/>
      <c r="E316" s="3"/>
      <c r="F316" s="4"/>
      <c r="G316" s="1"/>
      <c r="H316" s="1"/>
      <c r="I316" s="1"/>
      <c r="J316" s="1"/>
      <c r="K316" s="1"/>
      <c r="L316" s="1"/>
      <c r="M316" s="1"/>
    </row>
    <row r="317" spans="1:13" s="12" customFormat="1" ht="15.75" customHeight="1">
      <c r="A317" s="4" t="s">
        <v>577</v>
      </c>
      <c r="B317" s="1"/>
      <c r="C317" s="1"/>
      <c r="D317" s="1"/>
      <c r="E317" s="3"/>
      <c r="F317" s="4"/>
      <c r="G317" s="1"/>
      <c r="H317" s="1"/>
      <c r="I317" s="1"/>
      <c r="J317" s="1"/>
      <c r="K317" s="1"/>
      <c r="L317" s="1"/>
      <c r="M317" s="1"/>
    </row>
    <row r="318" spans="1:13" s="12" customFormat="1" ht="15.75" customHeight="1">
      <c r="A318" s="4" t="s">
        <v>578</v>
      </c>
      <c r="B318" s="1"/>
      <c r="C318" s="1"/>
      <c r="D318" s="1"/>
      <c r="E318" s="3"/>
      <c r="F318" s="4"/>
      <c r="G318" s="1"/>
      <c r="H318" s="1"/>
      <c r="I318" s="1"/>
      <c r="J318" s="1"/>
      <c r="K318" s="1"/>
      <c r="L318" s="1"/>
      <c r="M318" s="1"/>
    </row>
    <row r="319" spans="1:13" s="12" customFormat="1" ht="15.75" customHeight="1">
      <c r="A319" s="4" t="s">
        <v>579</v>
      </c>
      <c r="B319" s="1"/>
      <c r="C319" s="1"/>
      <c r="D319" s="1"/>
      <c r="E319" s="3"/>
      <c r="F319" s="4"/>
      <c r="G319" s="1"/>
      <c r="H319" s="1"/>
      <c r="I319" s="1"/>
      <c r="J319" s="1"/>
      <c r="K319" s="1"/>
      <c r="L319" s="1"/>
      <c r="M319" s="1"/>
    </row>
    <row r="320" spans="1:13" s="12" customFormat="1" ht="6" customHeight="1">
      <c r="A320" s="4"/>
      <c r="B320" s="1"/>
      <c r="C320" s="1"/>
      <c r="D320" s="1"/>
      <c r="E320" s="3"/>
      <c r="F320" s="4"/>
      <c r="G320" s="1"/>
      <c r="H320" s="1"/>
      <c r="I320" s="1"/>
      <c r="J320" s="1"/>
      <c r="K320" s="1"/>
      <c r="L320" s="1"/>
      <c r="M320" s="1"/>
    </row>
    <row r="321" spans="1:13" s="12" customFormat="1" ht="15.75" customHeight="1">
      <c r="A321" s="4" t="s">
        <v>2441</v>
      </c>
      <c r="B321" s="1"/>
      <c r="C321" s="3">
        <f>+(1/2)*PI()*K241^2/4*K242</f>
        <v>0.19634954084936207</v>
      </c>
      <c r="D321" s="4" t="s">
        <v>109</v>
      </c>
      <c r="E321" s="1"/>
      <c r="F321" s="1"/>
      <c r="G321" s="1" t="s">
        <v>2442</v>
      </c>
      <c r="H321" s="1"/>
      <c r="I321" s="6">
        <f>+C321*B241</f>
        <v>1325.359400733194</v>
      </c>
      <c r="J321" s="22" t="s">
        <v>704</v>
      </c>
      <c r="K321" s="1"/>
      <c r="L321" s="1"/>
      <c r="M321" s="1"/>
    </row>
    <row r="322" spans="1:10" s="12" customFormat="1" ht="6" customHeight="1">
      <c r="A322" s="14"/>
      <c r="C322" s="13"/>
      <c r="D322" s="14"/>
      <c r="H322" s="13"/>
      <c r="I322" s="25"/>
      <c r="J322" s="16"/>
    </row>
    <row r="323" spans="1:10" s="12" customFormat="1" ht="15.75" customHeight="1">
      <c r="A323" s="14"/>
      <c r="C323" s="13"/>
      <c r="D323" s="14"/>
      <c r="G323" s="4" t="s">
        <v>498</v>
      </c>
      <c r="H323" s="13"/>
      <c r="I323" s="25"/>
      <c r="J323" s="16"/>
    </row>
    <row r="324" spans="1:10" s="12" customFormat="1" ht="15.75" customHeight="1">
      <c r="A324" s="14"/>
      <c r="C324" s="13"/>
      <c r="D324" s="14"/>
      <c r="G324" s="4" t="s">
        <v>581</v>
      </c>
      <c r="H324" s="13"/>
      <c r="I324" s="25"/>
      <c r="J324" s="16"/>
    </row>
    <row r="325" spans="1:10" s="12" customFormat="1" ht="6" customHeight="1">
      <c r="A325" s="14"/>
      <c r="C325" s="13"/>
      <c r="D325" s="14"/>
      <c r="H325" s="13"/>
      <c r="I325" s="25"/>
      <c r="J325" s="16"/>
    </row>
    <row r="326" spans="1:10" s="12" customFormat="1" ht="15.75" customHeight="1">
      <c r="A326" s="4" t="s">
        <v>580</v>
      </c>
      <c r="C326" s="13"/>
      <c r="D326" s="14"/>
      <c r="H326" s="13"/>
      <c r="I326" s="25"/>
      <c r="J326" s="16"/>
    </row>
    <row r="327" spans="1:10" s="12" customFormat="1" ht="15.75" customHeight="1">
      <c r="A327" s="4" t="s">
        <v>582</v>
      </c>
      <c r="C327" s="13"/>
      <c r="D327" s="14"/>
      <c r="H327" s="13"/>
      <c r="I327" s="25"/>
      <c r="J327" s="16"/>
    </row>
    <row r="328" spans="1:10" s="12" customFormat="1" ht="6" customHeight="1">
      <c r="A328" s="4"/>
      <c r="C328" s="13"/>
      <c r="D328" s="14"/>
      <c r="H328" s="13"/>
      <c r="I328" s="25"/>
      <c r="J328" s="16"/>
    </row>
    <row r="329" spans="1:13" s="12" customFormat="1" ht="15.75" customHeight="1">
      <c r="A329" s="92" t="s">
        <v>1114</v>
      </c>
      <c r="B329" s="1"/>
      <c r="C329" s="1"/>
      <c r="D329" s="1"/>
      <c r="E329" s="3"/>
      <c r="F329" s="4"/>
      <c r="G329" s="1"/>
      <c r="H329" s="92" t="s">
        <v>1115</v>
      </c>
      <c r="I329" s="1"/>
      <c r="J329" s="4"/>
      <c r="K329" s="1"/>
      <c r="L329" s="1"/>
      <c r="M329" s="1"/>
    </row>
    <row r="330" spans="1:13" s="12" customFormat="1" ht="6" customHeight="1">
      <c r="A330" s="92"/>
      <c r="B330" s="1"/>
      <c r="C330" s="1"/>
      <c r="D330" s="1"/>
      <c r="E330" s="3"/>
      <c r="F330" s="4"/>
      <c r="G330" s="1"/>
      <c r="H330" s="1"/>
      <c r="I330" s="1"/>
      <c r="J330" s="1"/>
      <c r="K330" s="1"/>
      <c r="L330" s="1"/>
      <c r="M330" s="1"/>
    </row>
    <row r="331" spans="1:13" s="12" customFormat="1" ht="15.75" customHeight="1">
      <c r="A331" s="4" t="s">
        <v>1533</v>
      </c>
      <c r="B331" s="1"/>
      <c r="C331" s="3">
        <f>-(ABS(B257)+H241-E242)</f>
        <v>-3.5514666666666663</v>
      </c>
      <c r="D331" s="4" t="s">
        <v>699</v>
      </c>
      <c r="E331" s="3"/>
      <c r="F331" s="4"/>
      <c r="G331" s="1"/>
      <c r="H331" s="4" t="s">
        <v>1534</v>
      </c>
      <c r="I331" s="1"/>
      <c r="J331" s="6">
        <f>+C331*B241</f>
        <v>-23972.399999999998</v>
      </c>
      <c r="K331" s="4" t="s">
        <v>700</v>
      </c>
      <c r="L331" s="1"/>
      <c r="M331" s="1"/>
    </row>
    <row r="332" spans="1:13" s="12" customFormat="1" ht="6" customHeight="1">
      <c r="A332" s="4"/>
      <c r="B332" s="1"/>
      <c r="C332" s="1"/>
      <c r="D332" s="1"/>
      <c r="E332" s="3"/>
      <c r="F332" s="4"/>
      <c r="G332" s="1"/>
      <c r="H332" s="1"/>
      <c r="I332" s="1"/>
      <c r="J332" s="1"/>
      <c r="K332" s="1"/>
      <c r="L332" s="1"/>
      <c r="M332" s="1"/>
    </row>
    <row r="333" spans="1:13" s="12" customFormat="1" ht="15.75" customHeight="1">
      <c r="A333" s="4" t="s">
        <v>2444</v>
      </c>
      <c r="B333" s="4"/>
      <c r="C333" s="337"/>
      <c r="D333" s="1"/>
      <c r="E333" s="3"/>
      <c r="F333" s="4"/>
      <c r="G333" s="1"/>
      <c r="H333" s="4" t="s">
        <v>2445</v>
      </c>
      <c r="I333" s="1"/>
      <c r="J333" s="1"/>
      <c r="K333" s="1"/>
      <c r="L333" s="1"/>
      <c r="M333" s="1"/>
    </row>
    <row r="334" spans="1:13" s="12" customFormat="1" ht="6" customHeight="1">
      <c r="A334" s="1"/>
      <c r="B334" s="4"/>
      <c r="C334" s="1"/>
      <c r="D334" s="1"/>
      <c r="E334" s="3"/>
      <c r="F334" s="4"/>
      <c r="G334" s="1"/>
      <c r="H334" s="75"/>
      <c r="I334" s="1"/>
      <c r="J334" s="1"/>
      <c r="K334" s="1"/>
      <c r="L334" s="1"/>
      <c r="M334" s="1"/>
    </row>
    <row r="335" spans="1:13" s="12" customFormat="1" ht="15.75" customHeight="1">
      <c r="A335" s="1" t="s">
        <v>2448</v>
      </c>
      <c r="B335" s="3">
        <f>+K242*K241</f>
        <v>1</v>
      </c>
      <c r="C335" s="4" t="s">
        <v>108</v>
      </c>
      <c r="D335" s="1"/>
      <c r="E335" s="3"/>
      <c r="F335" s="4"/>
      <c r="G335" s="1"/>
      <c r="H335" s="4" t="s">
        <v>1547</v>
      </c>
      <c r="I335" s="1"/>
      <c r="J335" s="6">
        <f>+J331*B335</f>
        <v>-23972.399999999998</v>
      </c>
      <c r="K335" s="22" t="s">
        <v>704</v>
      </c>
      <c r="L335" s="1"/>
      <c r="M335" s="1"/>
    </row>
    <row r="336" spans="1:13" s="12" customFormat="1" ht="6" customHeight="1">
      <c r="A336" s="4"/>
      <c r="B336" s="1"/>
      <c r="C336" s="1"/>
      <c r="D336" s="1"/>
      <c r="E336" s="3"/>
      <c r="F336" s="4"/>
      <c r="G336" s="1"/>
      <c r="H336" s="1"/>
      <c r="I336" s="1"/>
      <c r="J336" s="1"/>
      <c r="K336" s="1"/>
      <c r="L336" s="1"/>
      <c r="M336" s="1"/>
    </row>
    <row r="337" spans="1:13" s="12" customFormat="1" ht="15.75" customHeight="1">
      <c r="A337" s="5" t="s">
        <v>237</v>
      </c>
      <c r="B337" s="1"/>
      <c r="C337" s="3"/>
      <c r="D337" s="4"/>
      <c r="E337" s="1"/>
      <c r="F337" s="4"/>
      <c r="G337" s="1"/>
      <c r="H337" s="4" t="s">
        <v>623</v>
      </c>
      <c r="I337" s="1"/>
      <c r="J337" s="1"/>
      <c r="K337" s="1"/>
      <c r="L337" s="1"/>
      <c r="M337" s="1"/>
    </row>
    <row r="338" spans="1:13" s="12" customFormat="1" ht="15.75" customHeight="1">
      <c r="A338" s="4"/>
      <c r="B338" s="1"/>
      <c r="C338" s="1"/>
      <c r="D338" s="1"/>
      <c r="E338" s="3"/>
      <c r="F338" s="4"/>
      <c r="G338" s="1"/>
      <c r="H338" s="4" t="s">
        <v>624</v>
      </c>
      <c r="I338" s="1"/>
      <c r="J338" s="1"/>
      <c r="K338" s="1"/>
      <c r="L338" s="1"/>
      <c r="M338" s="1"/>
    </row>
    <row r="339" spans="1:13" s="12" customFormat="1" ht="15.75" customHeight="1">
      <c r="A339" s="4"/>
      <c r="B339" s="1"/>
      <c r="C339" s="1"/>
      <c r="D339" s="1"/>
      <c r="E339" s="3"/>
      <c r="F339" s="4"/>
      <c r="G339" s="1"/>
      <c r="H339" s="4" t="s">
        <v>583</v>
      </c>
      <c r="I339" s="1"/>
      <c r="J339" s="1"/>
      <c r="K339" s="1"/>
      <c r="L339" s="1"/>
      <c r="M339" s="1"/>
    </row>
    <row r="340" spans="1:13" s="12" customFormat="1" ht="6" customHeight="1">
      <c r="A340" s="4"/>
      <c r="B340" s="1"/>
      <c r="C340" s="1"/>
      <c r="D340" s="1"/>
      <c r="E340" s="3"/>
      <c r="F340" s="4"/>
      <c r="G340" s="1"/>
      <c r="H340" s="4"/>
      <c r="I340" s="1"/>
      <c r="J340" s="1"/>
      <c r="K340" s="1"/>
      <c r="L340" s="1"/>
      <c r="M340" s="1"/>
    </row>
    <row r="341" spans="1:13" s="12" customFormat="1" ht="15.75" customHeight="1">
      <c r="A341" s="4" t="s">
        <v>495</v>
      </c>
      <c r="B341" s="1"/>
      <c r="C341" s="1"/>
      <c r="D341" s="1"/>
      <c r="E341" s="3"/>
      <c r="F341" s="4"/>
      <c r="G341" s="1"/>
      <c r="H341" s="1"/>
      <c r="I341" s="1"/>
      <c r="J341" s="1"/>
      <c r="K341" s="1"/>
      <c r="L341" s="1"/>
      <c r="M341" s="1"/>
    </row>
    <row r="342" spans="1:13" s="12" customFormat="1" ht="6" customHeight="1">
      <c r="A342" s="4"/>
      <c r="B342" s="1"/>
      <c r="C342" s="1"/>
      <c r="D342" s="1"/>
      <c r="E342" s="3"/>
      <c r="F342" s="4"/>
      <c r="G342" s="1"/>
      <c r="H342" s="1"/>
      <c r="I342" s="1"/>
      <c r="J342" s="1"/>
      <c r="K342" s="1"/>
      <c r="L342" s="1"/>
      <c r="M342" s="1"/>
    </row>
    <row r="343" spans="1:13" s="12" customFormat="1" ht="15.75" customHeight="1">
      <c r="A343" s="4" t="s">
        <v>1535</v>
      </c>
      <c r="B343" s="1"/>
      <c r="C343" s="1"/>
      <c r="D343" s="1"/>
      <c r="E343" s="3"/>
      <c r="F343" s="4"/>
      <c r="G343" s="1"/>
      <c r="H343" s="1"/>
      <c r="I343" s="1"/>
      <c r="J343" s="1"/>
      <c r="K343" s="1"/>
      <c r="L343" s="1"/>
      <c r="M343" s="1"/>
    </row>
    <row r="344" spans="1:13" s="12" customFormat="1" ht="15.75" customHeight="1">
      <c r="A344" s="4" t="s">
        <v>1536</v>
      </c>
      <c r="B344" s="1"/>
      <c r="C344" s="1"/>
      <c r="D344" s="1"/>
      <c r="E344" s="3"/>
      <c r="F344" s="4"/>
      <c r="G344" s="1"/>
      <c r="H344" s="1"/>
      <c r="I344" s="1"/>
      <c r="J344" s="1"/>
      <c r="K344" s="1"/>
      <c r="L344" s="1"/>
      <c r="M344" s="1"/>
    </row>
    <row r="345" spans="1:13" s="12" customFormat="1" ht="6" customHeight="1">
      <c r="A345" s="1"/>
      <c r="B345" s="1"/>
      <c r="C345" s="1"/>
      <c r="D345" s="1"/>
      <c r="E345" s="3"/>
      <c r="F345" s="4"/>
      <c r="G345" s="1"/>
      <c r="H345" s="1"/>
      <c r="I345" s="1"/>
      <c r="J345" s="1"/>
      <c r="K345" s="1"/>
      <c r="L345" s="1"/>
      <c r="M345" s="1"/>
    </row>
    <row r="346" spans="1:13" s="12" customFormat="1" ht="15.75" customHeight="1">
      <c r="A346" s="1"/>
      <c r="B346" s="1"/>
      <c r="C346" s="1"/>
      <c r="D346" s="5" t="s">
        <v>1769</v>
      </c>
      <c r="E346" s="1"/>
      <c r="F346" s="4"/>
      <c r="H346" s="1"/>
      <c r="I346" s="1"/>
      <c r="J346" s="1"/>
      <c r="K346" s="1"/>
      <c r="L346" s="1"/>
      <c r="M346" s="1"/>
    </row>
    <row r="347" spans="1:13" s="12" customFormat="1" ht="6" customHeight="1">
      <c r="A347" s="338"/>
      <c r="B347" s="1"/>
      <c r="C347" s="1"/>
      <c r="D347" s="1"/>
      <c r="E347" s="1"/>
      <c r="F347" s="4"/>
      <c r="H347" s="1"/>
      <c r="I347" s="1"/>
      <c r="J347" s="1"/>
      <c r="K347" s="1"/>
      <c r="L347" s="1"/>
      <c r="M347" s="1"/>
    </row>
    <row r="348" spans="1:13" s="12" customFormat="1" ht="15.75" customHeight="1">
      <c r="A348" s="4" t="s">
        <v>1537</v>
      </c>
      <c r="B348" s="1"/>
      <c r="C348" s="1"/>
      <c r="D348" s="5" t="s">
        <v>497</v>
      </c>
      <c r="E348" s="1"/>
      <c r="F348" s="4"/>
      <c r="G348" s="340" t="s">
        <v>1158</v>
      </c>
      <c r="H348" s="1"/>
      <c r="I348" s="1"/>
      <c r="J348" s="1"/>
      <c r="K348" s="1"/>
      <c r="L348" s="1"/>
      <c r="M348" s="1"/>
    </row>
    <row r="349" spans="1:13" s="12" customFormat="1" ht="17.25" customHeight="1">
      <c r="A349" s="1"/>
      <c r="B349" s="1"/>
      <c r="C349" s="1"/>
      <c r="D349" s="1"/>
      <c r="E349" s="3"/>
      <c r="F349" s="4"/>
      <c r="G349" s="4" t="s">
        <v>1159</v>
      </c>
      <c r="H349" s="1"/>
      <c r="I349" s="1"/>
      <c r="J349" s="1"/>
      <c r="K349" s="1"/>
      <c r="L349" s="1"/>
      <c r="M349" s="1"/>
    </row>
    <row r="350" spans="1:13" s="12" customFormat="1" ht="6" customHeight="1">
      <c r="A350" s="1"/>
      <c r="B350" s="1"/>
      <c r="C350" s="1"/>
      <c r="D350" s="1"/>
      <c r="E350" s="3"/>
      <c r="F350" s="4"/>
      <c r="G350" s="4"/>
      <c r="H350" s="1"/>
      <c r="I350" s="1"/>
      <c r="J350" s="1"/>
      <c r="K350" s="1"/>
      <c r="L350" s="1"/>
      <c r="M350" s="1"/>
    </row>
    <row r="351" spans="1:13" s="12" customFormat="1" ht="15.75" customHeight="1">
      <c r="A351" s="4" t="s">
        <v>1160</v>
      </c>
      <c r="B351" s="1"/>
      <c r="C351" s="1"/>
      <c r="D351" s="1"/>
      <c r="E351" s="3"/>
      <c r="F351" s="4"/>
      <c r="G351" s="1"/>
      <c r="H351" s="1"/>
      <c r="I351" s="1"/>
      <c r="J351" s="1"/>
      <c r="K351" s="1"/>
      <c r="L351" s="1"/>
      <c r="M351" s="1"/>
    </row>
    <row r="352" spans="1:13" s="12" customFormat="1" ht="6" customHeight="1">
      <c r="A352" s="4"/>
      <c r="B352" s="1"/>
      <c r="C352" s="1"/>
      <c r="D352" s="1"/>
      <c r="E352" s="3"/>
      <c r="F352" s="4"/>
      <c r="G352" s="1"/>
      <c r="H352" s="4"/>
      <c r="I352" s="1"/>
      <c r="J352" s="1"/>
      <c r="K352" s="1"/>
      <c r="L352" s="1"/>
      <c r="M352" s="1"/>
    </row>
    <row r="353" spans="1:13" s="12" customFormat="1" ht="15.75" customHeight="1">
      <c r="A353" s="10" t="s">
        <v>1161</v>
      </c>
      <c r="B353" s="11">
        <f>+ABS(J335)</f>
        <v>23972.399999999998</v>
      </c>
      <c r="C353" s="23" t="s">
        <v>704</v>
      </c>
      <c r="D353" s="1"/>
      <c r="E353" s="1"/>
      <c r="F353" s="1"/>
      <c r="G353" s="10" t="s">
        <v>500</v>
      </c>
      <c r="H353" s="11">
        <f>+I321</f>
        <v>1325.359400733194</v>
      </c>
      <c r="I353" s="23" t="s">
        <v>704</v>
      </c>
      <c r="J353" s="1"/>
      <c r="K353" s="1"/>
      <c r="L353" s="1"/>
      <c r="M353" s="1"/>
    </row>
    <row r="354" spans="1:13" s="12" customFormat="1" ht="6" customHeight="1">
      <c r="A354" s="4"/>
      <c r="B354" s="1"/>
      <c r="C354" s="1"/>
      <c r="D354" s="1"/>
      <c r="E354" s="3"/>
      <c r="F354" s="4"/>
      <c r="G354" s="1"/>
      <c r="H354" s="4"/>
      <c r="I354" s="1"/>
      <c r="J354" s="1"/>
      <c r="K354" s="1"/>
      <c r="L354" s="1"/>
      <c r="M354" s="1"/>
    </row>
    <row r="355" spans="1:13" s="12" customFormat="1" ht="15.75" customHeight="1">
      <c r="A355" s="4" t="s">
        <v>1162</v>
      </c>
      <c r="B355" s="1"/>
      <c r="C355" s="1"/>
      <c r="D355" s="1"/>
      <c r="E355" s="3"/>
      <c r="F355" s="4"/>
      <c r="G355" s="1"/>
      <c r="H355" s="4"/>
      <c r="I355" s="1"/>
      <c r="J355" s="1"/>
      <c r="K355" s="1"/>
      <c r="L355" s="1"/>
      <c r="M355" s="1"/>
    </row>
    <row r="356" spans="1:13" s="12" customFormat="1" ht="6" customHeight="1">
      <c r="A356" s="4"/>
      <c r="B356" s="1"/>
      <c r="C356" s="1"/>
      <c r="D356" s="1"/>
      <c r="E356" s="3"/>
      <c r="F356" s="4"/>
      <c r="G356" s="1"/>
      <c r="H356" s="4"/>
      <c r="I356" s="1"/>
      <c r="J356" s="1"/>
      <c r="K356" s="1"/>
      <c r="L356" s="1"/>
      <c r="M356" s="1"/>
    </row>
    <row r="357" spans="1:13" s="12" customFormat="1" ht="15.75" customHeight="1">
      <c r="A357" s="9" t="s">
        <v>502</v>
      </c>
      <c r="B357" s="10"/>
      <c r="C357" s="11">
        <f>+SQRT(B353^2+H353^2)</f>
        <v>24009.009544358796</v>
      </c>
      <c r="D357" s="9" t="s">
        <v>704</v>
      </c>
      <c r="E357" s="3"/>
      <c r="F357" s="4"/>
      <c r="G357" s="1"/>
      <c r="H357" s="4"/>
      <c r="I357" s="1"/>
      <c r="J357" s="1"/>
      <c r="K357" s="1"/>
      <c r="L357" s="1"/>
      <c r="M357" s="1"/>
    </row>
    <row r="358" spans="1:13" s="12" customFormat="1" ht="6" customHeight="1">
      <c r="A358" s="4"/>
      <c r="B358" s="1"/>
      <c r="C358" s="1"/>
      <c r="D358" s="1"/>
      <c r="E358" s="3"/>
      <c r="F358" s="4"/>
      <c r="G358" s="1"/>
      <c r="H358" s="4"/>
      <c r="I358" s="1"/>
      <c r="J358" s="1"/>
      <c r="K358" s="1"/>
      <c r="L358" s="1"/>
      <c r="M358" s="1"/>
    </row>
    <row r="359" spans="1:13" s="12" customFormat="1" ht="15.75" customHeight="1">
      <c r="A359" s="4" t="s">
        <v>1118</v>
      </c>
      <c r="B359" s="1"/>
      <c r="C359" s="1"/>
      <c r="D359" s="1"/>
      <c r="E359" s="3"/>
      <c r="F359" s="4"/>
      <c r="G359" s="1"/>
      <c r="H359" s="4"/>
      <c r="I359" s="1"/>
      <c r="J359" s="1"/>
      <c r="K359" s="1"/>
      <c r="L359" s="1"/>
      <c r="M359" s="1"/>
    </row>
    <row r="360" spans="1:13" s="12" customFormat="1" ht="15.75" customHeight="1">
      <c r="A360" s="4" t="s">
        <v>585</v>
      </c>
      <c r="B360" s="1"/>
      <c r="C360" s="1"/>
      <c r="D360" s="1"/>
      <c r="E360" s="3"/>
      <c r="F360" s="4"/>
      <c r="G360" s="1"/>
      <c r="H360" s="4"/>
      <c r="I360" s="1"/>
      <c r="J360" s="1"/>
      <c r="K360" s="1"/>
      <c r="L360" s="1"/>
      <c r="M360" s="1"/>
    </row>
    <row r="361" spans="1:13" s="12" customFormat="1" ht="15.75" customHeight="1">
      <c r="A361" s="4" t="s">
        <v>584</v>
      </c>
      <c r="B361" s="1"/>
      <c r="C361" s="1"/>
      <c r="D361" s="1"/>
      <c r="E361" s="3"/>
      <c r="F361" s="4"/>
      <c r="G361" s="1"/>
      <c r="H361" s="4"/>
      <c r="I361" s="1"/>
      <c r="J361" s="1"/>
      <c r="K361" s="1"/>
      <c r="L361" s="1"/>
      <c r="M361" s="1"/>
    </row>
    <row r="362" spans="1:13" s="12" customFormat="1" ht="6" customHeight="1">
      <c r="A362" s="4"/>
      <c r="B362" s="1"/>
      <c r="C362" s="1"/>
      <c r="D362" s="1"/>
      <c r="E362" s="3"/>
      <c r="F362" s="4"/>
      <c r="G362" s="1"/>
      <c r="H362" s="4"/>
      <c r="I362" s="1"/>
      <c r="J362" s="1"/>
      <c r="K362" s="1"/>
      <c r="L362" s="1"/>
      <c r="M362" s="1"/>
    </row>
    <row r="363" spans="1:13" s="12" customFormat="1" ht="15.75" customHeight="1">
      <c r="A363" s="338" t="s">
        <v>504</v>
      </c>
      <c r="B363" s="1"/>
      <c r="C363" s="1"/>
      <c r="D363" s="1"/>
      <c r="E363" s="3"/>
      <c r="F363" s="4"/>
      <c r="G363" s="1"/>
      <c r="H363" s="1"/>
      <c r="I363" s="1"/>
      <c r="J363" s="1"/>
      <c r="K363" s="1"/>
      <c r="L363" s="1"/>
      <c r="M363" s="1"/>
    </row>
    <row r="364" spans="1:13" s="12" customFormat="1" ht="6" customHeight="1">
      <c r="A364" s="4"/>
      <c r="B364" s="1"/>
      <c r="C364" s="1"/>
      <c r="D364" s="1"/>
      <c r="E364" s="3"/>
      <c r="F364" s="4"/>
      <c r="G364" s="1"/>
      <c r="H364" s="1"/>
      <c r="I364" s="1"/>
      <c r="J364" s="1"/>
      <c r="K364" s="1"/>
      <c r="L364" s="1"/>
      <c r="M364" s="1"/>
    </row>
    <row r="365" spans="1:13" s="12" customFormat="1" ht="15.75" customHeight="1">
      <c r="A365" s="4" t="s">
        <v>1121</v>
      </c>
      <c r="B365" s="1"/>
      <c r="C365" s="1"/>
      <c r="D365" s="1"/>
      <c r="E365" s="3"/>
      <c r="F365" s="4"/>
      <c r="G365" s="1"/>
      <c r="H365" s="1"/>
      <c r="I365" s="1"/>
      <c r="J365" s="1"/>
      <c r="K365" s="1"/>
      <c r="L365" s="1"/>
      <c r="M365" s="1"/>
    </row>
    <row r="366" spans="1:13" s="12" customFormat="1" ht="15.75" customHeight="1">
      <c r="A366" s="4" t="s">
        <v>1122</v>
      </c>
      <c r="B366" s="1"/>
      <c r="C366" s="1"/>
      <c r="D366" s="1"/>
      <c r="E366" s="3"/>
      <c r="F366" s="4"/>
      <c r="G366" s="1"/>
      <c r="H366" s="1"/>
      <c r="I366" s="1"/>
      <c r="J366" s="1"/>
      <c r="K366" s="1"/>
      <c r="L366" s="1"/>
      <c r="M366" s="1"/>
    </row>
    <row r="367" spans="1:13" s="12" customFormat="1" ht="15.75" customHeight="1">
      <c r="A367" s="4" t="s">
        <v>586</v>
      </c>
      <c r="B367" s="1"/>
      <c r="C367" s="1"/>
      <c r="D367" s="1"/>
      <c r="E367" s="3"/>
      <c r="F367" s="4"/>
      <c r="G367" s="1"/>
      <c r="H367" s="1"/>
      <c r="I367" s="1"/>
      <c r="J367" s="1"/>
      <c r="K367" s="1"/>
      <c r="L367" s="1"/>
      <c r="M367" s="1"/>
    </row>
    <row r="368" spans="1:13" s="12" customFormat="1" ht="15.75" customHeight="1">
      <c r="A368" s="4" t="s">
        <v>1816</v>
      </c>
      <c r="B368" s="1"/>
      <c r="C368" s="1"/>
      <c r="D368" s="1"/>
      <c r="E368" s="3"/>
      <c r="F368" s="4"/>
      <c r="G368" s="1"/>
      <c r="H368" s="1"/>
      <c r="I368" s="1"/>
      <c r="J368" s="1"/>
      <c r="K368" s="1"/>
      <c r="L368" s="1"/>
      <c r="M368" s="1"/>
    </row>
    <row r="369" spans="1:13" s="12" customFormat="1" ht="6" customHeight="1">
      <c r="A369" s="4"/>
      <c r="B369" s="1"/>
      <c r="C369" s="1"/>
      <c r="D369" s="1"/>
      <c r="E369" s="3"/>
      <c r="F369" s="4"/>
      <c r="G369" s="1"/>
      <c r="H369" s="1"/>
      <c r="I369" s="1"/>
      <c r="J369" s="1"/>
      <c r="K369" s="1"/>
      <c r="L369" s="1"/>
      <c r="M369" s="1"/>
    </row>
    <row r="370" spans="1:13" s="12" customFormat="1" ht="15.75" customHeight="1">
      <c r="A370" s="4" t="s">
        <v>505</v>
      </c>
      <c r="B370" s="4"/>
      <c r="C370" s="337"/>
      <c r="D370" s="1"/>
      <c r="E370" s="3"/>
      <c r="F370" s="4"/>
      <c r="G370" s="1"/>
      <c r="H370" s="1"/>
      <c r="I370" s="1"/>
      <c r="J370" s="1"/>
      <c r="K370" s="1"/>
      <c r="L370" s="1"/>
      <c r="M370" s="1"/>
    </row>
    <row r="371" spans="1:13" s="12" customFormat="1" ht="6" customHeight="1">
      <c r="A371" s="1"/>
      <c r="B371" s="4"/>
      <c r="C371" s="1"/>
      <c r="D371" s="1"/>
      <c r="E371" s="3"/>
      <c r="F371" s="4"/>
      <c r="G371" s="1"/>
      <c r="H371" s="1"/>
      <c r="I371" s="1"/>
      <c r="J371" s="1"/>
      <c r="K371" s="1"/>
      <c r="L371" s="1"/>
      <c r="M371" s="1"/>
    </row>
    <row r="372" spans="1:13" s="12" customFormat="1" ht="15.75" customHeight="1">
      <c r="A372" s="1" t="s">
        <v>2427</v>
      </c>
      <c r="B372" s="3">
        <f>+B285</f>
        <v>1</v>
      </c>
      <c r="C372" s="4" t="s">
        <v>108</v>
      </c>
      <c r="D372" s="1"/>
      <c r="E372" s="3"/>
      <c r="F372" s="4"/>
      <c r="G372" s="1"/>
      <c r="H372" s="1"/>
      <c r="I372" s="1"/>
      <c r="J372" s="1"/>
      <c r="K372" s="1"/>
      <c r="L372" s="1"/>
      <c r="M372" s="1"/>
    </row>
    <row r="373" spans="1:13" s="12" customFormat="1" ht="6" customHeight="1">
      <c r="A373" s="1"/>
      <c r="B373" s="3"/>
      <c r="C373" s="4"/>
      <c r="D373" s="1"/>
      <c r="E373" s="3"/>
      <c r="F373" s="4"/>
      <c r="G373" s="1"/>
      <c r="H373" s="1"/>
      <c r="I373" s="1"/>
      <c r="J373" s="1"/>
      <c r="K373" s="1"/>
      <c r="L373" s="1"/>
      <c r="M373" s="1"/>
    </row>
    <row r="374" spans="1:13" s="12" customFormat="1" ht="15.75" customHeight="1">
      <c r="A374" s="92" t="s">
        <v>587</v>
      </c>
      <c r="B374" s="1"/>
      <c r="C374" s="1"/>
      <c r="D374" s="1"/>
      <c r="E374" s="3"/>
      <c r="F374" s="4"/>
      <c r="G374" s="1"/>
      <c r="H374" s="92" t="s">
        <v>588</v>
      </c>
      <c r="I374" s="1"/>
      <c r="J374" s="4"/>
      <c r="K374" s="1"/>
      <c r="L374" s="1"/>
      <c r="M374" s="1"/>
    </row>
    <row r="375" spans="1:13" s="12" customFormat="1" ht="6" customHeight="1">
      <c r="A375" s="92"/>
      <c r="B375" s="1"/>
      <c r="C375" s="1"/>
      <c r="D375" s="1"/>
      <c r="E375" s="3"/>
      <c r="F375" s="4"/>
      <c r="G375" s="1"/>
      <c r="H375" s="1"/>
      <c r="I375" s="1"/>
      <c r="J375" s="1"/>
      <c r="K375" s="1"/>
      <c r="L375" s="1"/>
      <c r="M375" s="1"/>
    </row>
    <row r="376" spans="1:13" s="12" customFormat="1" ht="15.75" customHeight="1">
      <c r="A376" s="4" t="s">
        <v>236</v>
      </c>
      <c r="B376" s="1"/>
      <c r="C376" s="3">
        <f>+C281</f>
        <v>-5.051466666666666</v>
      </c>
      <c r="D376" s="4" t="s">
        <v>699</v>
      </c>
      <c r="E376" s="3"/>
      <c r="F376" s="4"/>
      <c r="G376" s="1"/>
      <c r="H376" s="4" t="s">
        <v>2425</v>
      </c>
      <c r="I376" s="1"/>
      <c r="J376" s="6">
        <f>+J281</f>
        <v>-34097.399999999994</v>
      </c>
      <c r="K376" s="4" t="s">
        <v>700</v>
      </c>
      <c r="L376" s="1"/>
      <c r="M376" s="1"/>
    </row>
    <row r="377" spans="1:13" s="12" customFormat="1" ht="6" customHeight="1">
      <c r="A377" s="4"/>
      <c r="B377" s="1"/>
      <c r="C377" s="1"/>
      <c r="D377" s="1"/>
      <c r="E377" s="3"/>
      <c r="F377" s="4"/>
      <c r="G377" s="1"/>
      <c r="H377" s="1"/>
      <c r="I377" s="1"/>
      <c r="J377" s="1"/>
      <c r="K377" s="1"/>
      <c r="L377" s="1"/>
      <c r="M377" s="1"/>
    </row>
    <row r="378" spans="1:13" s="12" customFormat="1" ht="15.75" customHeight="1">
      <c r="A378" s="4" t="s">
        <v>506</v>
      </c>
      <c r="B378" s="1"/>
      <c r="C378" s="1"/>
      <c r="D378" s="1"/>
      <c r="E378" s="3"/>
      <c r="F378" s="4"/>
      <c r="G378" s="1"/>
      <c r="H378" s="1"/>
      <c r="I378" s="1"/>
      <c r="J378" s="1"/>
      <c r="K378" s="1"/>
      <c r="L378" s="1"/>
      <c r="M378" s="1"/>
    </row>
    <row r="379" spans="1:13" s="12" customFormat="1" ht="6" customHeight="1">
      <c r="A379" s="1"/>
      <c r="B379" s="3"/>
      <c r="C379" s="4"/>
      <c r="D379" s="1"/>
      <c r="E379" s="3"/>
      <c r="F379" s="4"/>
      <c r="G379" s="75"/>
      <c r="H379" s="1"/>
      <c r="I379" s="1"/>
      <c r="J379" s="1"/>
      <c r="K379" s="1"/>
      <c r="L379" s="1"/>
      <c r="M379" s="1"/>
    </row>
    <row r="380" spans="1:13" s="12" customFormat="1" ht="15.75" customHeight="1">
      <c r="A380" s="10" t="s">
        <v>1545</v>
      </c>
      <c r="B380" s="11">
        <f>+J376*B372</f>
        <v>-34097.399999999994</v>
      </c>
      <c r="C380" s="9" t="s">
        <v>704</v>
      </c>
      <c r="D380" s="1"/>
      <c r="E380" s="4" t="s">
        <v>1163</v>
      </c>
      <c r="F380" s="4"/>
      <c r="G380" s="1"/>
      <c r="H380" s="1"/>
      <c r="I380" s="1"/>
      <c r="J380" s="1"/>
      <c r="K380" s="1"/>
      <c r="L380" s="1"/>
      <c r="M380" s="1"/>
    </row>
    <row r="381" spans="1:13" s="12" customFormat="1" ht="15.75" customHeight="1">
      <c r="A381" s="1"/>
      <c r="B381" s="6"/>
      <c r="C381" s="4"/>
      <c r="D381" s="1"/>
      <c r="E381" s="4" t="s">
        <v>589</v>
      </c>
      <c r="F381" s="4"/>
      <c r="G381" s="1"/>
      <c r="H381" s="1"/>
      <c r="I381" s="1"/>
      <c r="J381" s="1"/>
      <c r="K381" s="1"/>
      <c r="L381" s="1"/>
      <c r="M381" s="1"/>
    </row>
    <row r="382" spans="1:13" s="12" customFormat="1" ht="15.75" customHeight="1">
      <c r="A382" s="4"/>
      <c r="B382" s="1"/>
      <c r="C382" s="1"/>
      <c r="D382" s="1"/>
      <c r="E382" s="4" t="s">
        <v>591</v>
      </c>
      <c r="F382" s="4"/>
      <c r="G382" s="1"/>
      <c r="H382" s="1"/>
      <c r="I382" s="1"/>
      <c r="J382" s="1"/>
      <c r="K382" s="1"/>
      <c r="L382" s="1"/>
      <c r="M382" s="1"/>
    </row>
    <row r="383" spans="1:13" s="12" customFormat="1" ht="15.75" customHeight="1">
      <c r="A383" s="4"/>
      <c r="B383" s="1"/>
      <c r="C383" s="1"/>
      <c r="D383" s="1"/>
      <c r="E383" s="92" t="s">
        <v>590</v>
      </c>
      <c r="F383" s="4"/>
      <c r="G383" s="1"/>
      <c r="H383" s="4"/>
      <c r="I383" s="1"/>
      <c r="J383" s="1"/>
      <c r="K383" s="1"/>
      <c r="L383" s="1"/>
      <c r="M383" s="1"/>
    </row>
    <row r="384" spans="1:13" s="12" customFormat="1" ht="6" customHeight="1">
      <c r="A384" s="4"/>
      <c r="B384" s="1"/>
      <c r="C384" s="1"/>
      <c r="D384" s="1"/>
      <c r="E384" s="92"/>
      <c r="F384" s="4"/>
      <c r="G384" s="1"/>
      <c r="H384" s="4"/>
      <c r="I384" s="1"/>
      <c r="J384" s="1"/>
      <c r="K384" s="1"/>
      <c r="L384" s="1"/>
      <c r="M384" s="1"/>
    </row>
    <row r="385" spans="1:13" s="12" customFormat="1" ht="15.75" customHeight="1">
      <c r="A385" s="345" t="s">
        <v>2583</v>
      </c>
      <c r="B385" s="1"/>
      <c r="C385" s="1"/>
      <c r="D385" s="1"/>
      <c r="E385" s="92"/>
      <c r="F385" s="4"/>
      <c r="G385" s="1"/>
      <c r="H385" s="4"/>
      <c r="I385" s="1"/>
      <c r="J385" s="1"/>
      <c r="K385" s="1"/>
      <c r="L385" s="1"/>
      <c r="M385" s="1"/>
    </row>
    <row r="386" spans="1:13" s="12" customFormat="1" ht="15.75" customHeight="1">
      <c r="A386" s="24" t="s">
        <v>2584</v>
      </c>
      <c r="B386" s="1"/>
      <c r="C386" s="1"/>
      <c r="D386" s="1"/>
      <c r="E386" s="92"/>
      <c r="F386" s="4"/>
      <c r="G386" s="1"/>
      <c r="H386" s="4"/>
      <c r="I386" s="1"/>
      <c r="J386" s="1"/>
      <c r="K386" s="1"/>
      <c r="L386" s="1"/>
      <c r="M386" s="1"/>
    </row>
    <row r="387" spans="1:13" s="12" customFormat="1" ht="15.75" customHeight="1">
      <c r="A387" s="24" t="s">
        <v>2585</v>
      </c>
      <c r="B387" s="1"/>
      <c r="C387" s="1"/>
      <c r="D387" s="1"/>
      <c r="E387" s="92"/>
      <c r="F387" s="4"/>
      <c r="G387" s="1"/>
      <c r="H387" s="4"/>
      <c r="I387" s="1"/>
      <c r="J387" s="1"/>
      <c r="K387" s="1"/>
      <c r="L387" s="1"/>
      <c r="M387" s="1"/>
    </row>
    <row r="388" spans="1:13" s="12" customFormat="1" ht="6" customHeight="1">
      <c r="A388" s="4"/>
      <c r="B388" s="1"/>
      <c r="C388" s="1"/>
      <c r="D388" s="1"/>
      <c r="E388" s="92"/>
      <c r="F388" s="4"/>
      <c r="G388" s="1"/>
      <c r="H388" s="4"/>
      <c r="I388" s="1"/>
      <c r="J388" s="1"/>
      <c r="K388" s="1"/>
      <c r="L388" s="1"/>
      <c r="M388" s="1"/>
    </row>
    <row r="389" spans="1:8" s="12" customFormat="1" ht="15.75" customHeight="1">
      <c r="A389" s="14" t="s">
        <v>592</v>
      </c>
      <c r="B389" s="13"/>
      <c r="C389" s="14"/>
      <c r="E389" s="15"/>
      <c r="F389" s="14"/>
      <c r="G389" s="4"/>
      <c r="H389" s="1"/>
    </row>
    <row r="390" spans="1:8" s="12" customFormat="1" ht="15.75" customHeight="1">
      <c r="A390" s="14" t="s">
        <v>1127</v>
      </c>
      <c r="B390" s="13"/>
      <c r="C390" s="14"/>
      <c r="E390" s="15"/>
      <c r="F390" s="14"/>
      <c r="G390" s="4"/>
      <c r="H390" s="1"/>
    </row>
    <row r="391" spans="1:8" s="12" customFormat="1" ht="15.75" customHeight="1">
      <c r="A391" s="14" t="s">
        <v>593</v>
      </c>
      <c r="B391" s="13"/>
      <c r="C391" s="14"/>
      <c r="E391" s="15"/>
      <c r="F391" s="14"/>
      <c r="G391" s="4"/>
      <c r="H391" s="1"/>
    </row>
    <row r="392" spans="1:8" s="12" customFormat="1" ht="15.75" customHeight="1">
      <c r="A392" s="14" t="s">
        <v>594</v>
      </c>
      <c r="B392" s="13"/>
      <c r="C392" s="14"/>
      <c r="E392" s="15"/>
      <c r="F392" s="14"/>
      <c r="G392" s="4"/>
      <c r="H392" s="1"/>
    </row>
    <row r="393" spans="1:8" s="12" customFormat="1" ht="15.75" customHeight="1">
      <c r="A393" s="14" t="s">
        <v>595</v>
      </c>
      <c r="B393" s="13"/>
      <c r="C393" s="14"/>
      <c r="E393" s="15"/>
      <c r="F393" s="14"/>
      <c r="G393" s="4"/>
      <c r="H393" s="1"/>
    </row>
    <row r="394" spans="1:13" s="12" customFormat="1" ht="6" customHeight="1">
      <c r="A394" s="4"/>
      <c r="B394" s="1"/>
      <c r="C394" s="1"/>
      <c r="D394" s="1"/>
      <c r="E394" s="3"/>
      <c r="F394" s="4"/>
      <c r="G394" s="1"/>
      <c r="H394" s="4"/>
      <c r="I394" s="1"/>
      <c r="J394" s="1"/>
      <c r="K394" s="1"/>
      <c r="L394" s="1"/>
      <c r="M394" s="1"/>
    </row>
    <row r="395" spans="1:7" s="12" customFormat="1" ht="15.75" customHeight="1">
      <c r="A395" s="14" t="s">
        <v>2100</v>
      </c>
      <c r="B395" s="13"/>
      <c r="C395" s="14"/>
      <c r="E395" s="15"/>
      <c r="F395" s="14"/>
      <c r="G395" s="4"/>
    </row>
    <row r="396" spans="1:7" s="12" customFormat="1" ht="15.75" customHeight="1">
      <c r="A396" s="14" t="s">
        <v>509</v>
      </c>
      <c r="B396" s="13"/>
      <c r="C396" s="14"/>
      <c r="E396" s="15"/>
      <c r="F396" s="14"/>
      <c r="G396" s="4"/>
    </row>
    <row r="397" spans="1:12" s="12" customFormat="1" ht="15.75" customHeight="1">
      <c r="A397" s="14" t="s">
        <v>1164</v>
      </c>
      <c r="B397" s="13"/>
      <c r="C397" s="14"/>
      <c r="E397" s="15"/>
      <c r="F397" s="14"/>
      <c r="G397" s="4"/>
      <c r="H397" s="4" t="s">
        <v>1167</v>
      </c>
      <c r="K397" s="130">
        <f>+ABS(C281)*K241*K242+(1/4)*PI()*(K241^2)/4*K242</f>
        <v>5.149641437091347</v>
      </c>
      <c r="L397" s="4" t="s">
        <v>109</v>
      </c>
    </row>
    <row r="398" spans="1:7" s="12" customFormat="1" ht="15.75" customHeight="1">
      <c r="A398" s="14" t="s">
        <v>1165</v>
      </c>
      <c r="B398" s="13"/>
      <c r="C398" s="14"/>
      <c r="E398" s="15"/>
      <c r="F398" s="14"/>
      <c r="G398" s="4"/>
    </row>
    <row r="399" spans="1:11" s="12" customFormat="1" ht="15.75" customHeight="1">
      <c r="A399" s="14" t="s">
        <v>1166</v>
      </c>
      <c r="B399" s="13"/>
      <c r="C399" s="14"/>
      <c r="E399" s="15"/>
      <c r="F399" s="14"/>
      <c r="G399" s="4"/>
      <c r="H399" s="4" t="s">
        <v>512</v>
      </c>
      <c r="J399" s="13">
        <f>+$B$241*K397</f>
        <v>34760.079700366594</v>
      </c>
      <c r="K399" s="4" t="s">
        <v>704</v>
      </c>
    </row>
    <row r="400" spans="1:13" s="12" customFormat="1" ht="6" customHeight="1">
      <c r="A400" s="4"/>
      <c r="B400" s="1"/>
      <c r="C400" s="1"/>
      <c r="D400" s="1"/>
      <c r="E400" s="3"/>
      <c r="F400" s="4"/>
      <c r="G400" s="1"/>
      <c r="H400" s="4"/>
      <c r="I400" s="1"/>
      <c r="J400" s="1"/>
      <c r="K400" s="1"/>
      <c r="L400" s="1"/>
      <c r="M400" s="1"/>
    </row>
    <row r="401" spans="1:7" s="12" customFormat="1" ht="15.75" customHeight="1">
      <c r="A401" s="14" t="s">
        <v>2101</v>
      </c>
      <c r="B401" s="13"/>
      <c r="C401" s="14"/>
      <c r="E401" s="15"/>
      <c r="F401" s="14"/>
      <c r="G401" s="4"/>
    </row>
    <row r="402" spans="1:13" ht="15.75" customHeight="1">
      <c r="A402" s="14" t="s">
        <v>1804</v>
      </c>
      <c r="B402" s="13"/>
      <c r="C402" s="14"/>
      <c r="D402" s="12"/>
      <c r="E402" s="15"/>
      <c r="F402" s="14"/>
      <c r="G402" s="4"/>
      <c r="H402" s="12"/>
      <c r="I402" s="12"/>
      <c r="J402" s="12"/>
      <c r="K402" s="12"/>
      <c r="L402" s="12"/>
      <c r="M402" s="12"/>
    </row>
    <row r="403" spans="1:13" ht="15.75" customHeight="1">
      <c r="A403" s="14" t="s">
        <v>264</v>
      </c>
      <c r="B403" s="13"/>
      <c r="C403" s="14"/>
      <c r="D403" s="12"/>
      <c r="E403" s="15"/>
      <c r="F403" s="14"/>
      <c r="G403" s="4"/>
      <c r="H403" s="4" t="s">
        <v>596</v>
      </c>
      <c r="I403" s="12"/>
      <c r="J403" s="12"/>
      <c r="K403" s="130">
        <f>+ABS(C281)*K241*K242-(1/4)*PI()*(K241^2)/4*K242</f>
        <v>4.953291896241986</v>
      </c>
      <c r="L403" s="4" t="s">
        <v>109</v>
      </c>
      <c r="M403" s="12"/>
    </row>
    <row r="404" spans="1:13" ht="15.75" customHeight="1">
      <c r="A404" s="14" t="s">
        <v>2503</v>
      </c>
      <c r="B404" s="13"/>
      <c r="C404" s="14"/>
      <c r="D404" s="12"/>
      <c r="E404" s="15"/>
      <c r="F404" s="14"/>
      <c r="G404" s="4"/>
      <c r="H404" s="12"/>
      <c r="I404" s="12"/>
      <c r="J404" s="12"/>
      <c r="K404" s="12"/>
      <c r="L404" s="12"/>
      <c r="M404" s="12"/>
    </row>
    <row r="405" spans="1:13" ht="15.75" customHeight="1">
      <c r="A405" s="14" t="s">
        <v>1807</v>
      </c>
      <c r="B405" s="13"/>
      <c r="C405" s="14"/>
      <c r="D405" s="12"/>
      <c r="E405" s="15"/>
      <c r="F405" s="14"/>
      <c r="G405" s="4"/>
      <c r="H405" s="4" t="s">
        <v>1809</v>
      </c>
      <c r="I405" s="12"/>
      <c r="J405" s="13">
        <f>+$B$241*K403</f>
        <v>33434.7202996334</v>
      </c>
      <c r="K405" s="4" t="s">
        <v>704</v>
      </c>
      <c r="L405" s="12"/>
      <c r="M405" s="12"/>
    </row>
    <row r="406" spans="1:13" ht="6" customHeight="1">
      <c r="A406" s="14"/>
      <c r="B406" s="13"/>
      <c r="C406" s="14"/>
      <c r="D406" s="12"/>
      <c r="E406" s="15"/>
      <c r="F406" s="14"/>
      <c r="G406" s="4"/>
      <c r="H406" s="4"/>
      <c r="I406" s="12"/>
      <c r="J406" s="13"/>
      <c r="K406" s="4"/>
      <c r="L406" s="12"/>
      <c r="M406" s="12"/>
    </row>
    <row r="407" spans="1:13" ht="15.75" customHeight="1">
      <c r="A407" s="14" t="s">
        <v>1810</v>
      </c>
      <c r="B407" s="13"/>
      <c r="C407" s="14"/>
      <c r="D407" s="12"/>
      <c r="E407" s="15"/>
      <c r="F407" s="14"/>
      <c r="G407" s="4"/>
      <c r="H407" s="4"/>
      <c r="I407" s="12"/>
      <c r="J407" s="13"/>
      <c r="K407" s="4"/>
      <c r="L407" s="12"/>
      <c r="M407" s="12"/>
    </row>
    <row r="408" spans="1:13" ht="6" customHeight="1">
      <c r="A408" s="14"/>
      <c r="B408" s="13"/>
      <c r="C408" s="14"/>
      <c r="D408" s="12"/>
      <c r="E408" s="15"/>
      <c r="F408" s="14"/>
      <c r="G408" s="4"/>
      <c r="H408" s="4"/>
      <c r="I408" s="12"/>
      <c r="J408" s="13"/>
      <c r="K408" s="4"/>
      <c r="L408" s="12"/>
      <c r="M408" s="12"/>
    </row>
    <row r="409" spans="1:13" ht="15.75" customHeight="1">
      <c r="A409" s="9" t="s">
        <v>1168</v>
      </c>
      <c r="B409" s="11"/>
      <c r="C409" s="11">
        <f>+J405-J399</f>
        <v>-1325.3594007331922</v>
      </c>
      <c r="D409" s="9" t="s">
        <v>704</v>
      </c>
      <c r="E409" s="15"/>
      <c r="F409" s="14"/>
      <c r="G409" s="4"/>
      <c r="H409" s="4"/>
      <c r="I409" s="12"/>
      <c r="J409" s="13"/>
      <c r="K409" s="4"/>
      <c r="L409" s="12"/>
      <c r="M409" s="12"/>
    </row>
    <row r="410" spans="1:13" ht="6" customHeight="1">
      <c r="A410" s="14"/>
      <c r="B410" s="13"/>
      <c r="C410" s="14"/>
      <c r="D410" s="12"/>
      <c r="E410" s="15"/>
      <c r="F410" s="14"/>
      <c r="G410" s="4"/>
      <c r="H410" s="4"/>
      <c r="I410" s="12"/>
      <c r="J410" s="13"/>
      <c r="K410" s="4"/>
      <c r="L410" s="12"/>
      <c r="M410" s="12"/>
    </row>
    <row r="411" spans="1:13" ht="15.75" customHeight="1">
      <c r="A411" s="14" t="s">
        <v>1812</v>
      </c>
      <c r="B411" s="13"/>
      <c r="C411" s="14"/>
      <c r="D411" s="12"/>
      <c r="E411" s="15"/>
      <c r="F411" s="14"/>
      <c r="G411" s="4"/>
      <c r="I411" s="12"/>
      <c r="J411" s="12"/>
      <c r="K411" s="12"/>
      <c r="L411" s="12"/>
      <c r="M411" s="12"/>
    </row>
    <row r="412" spans="1:13" ht="15.75" customHeight="1">
      <c r="A412" s="14" t="s">
        <v>1814</v>
      </c>
      <c r="B412" s="13"/>
      <c r="C412" s="14"/>
      <c r="D412" s="12"/>
      <c r="E412" s="15"/>
      <c r="F412" s="14"/>
      <c r="G412" s="4"/>
      <c r="I412" s="12"/>
      <c r="J412" s="12"/>
      <c r="K412" s="12"/>
      <c r="L412" s="12"/>
      <c r="M412" s="12"/>
    </row>
    <row r="413" spans="1:13" ht="15.75" customHeight="1">
      <c r="A413" s="14" t="s">
        <v>1813</v>
      </c>
      <c r="B413" s="13"/>
      <c r="C413" s="14"/>
      <c r="D413" s="12"/>
      <c r="E413" s="15"/>
      <c r="F413" s="14"/>
      <c r="G413" s="4"/>
      <c r="I413" s="12"/>
      <c r="J413" s="12"/>
      <c r="K413" s="12"/>
      <c r="L413" s="12"/>
      <c r="M413" s="12"/>
    </row>
    <row r="414" spans="1:13" ht="15.75" customHeight="1">
      <c r="A414" s="14" t="s">
        <v>598</v>
      </c>
      <c r="B414" s="13"/>
      <c r="C414" s="14"/>
      <c r="D414" s="12"/>
      <c r="E414" s="15"/>
      <c r="F414" s="14"/>
      <c r="G414" s="4"/>
      <c r="I414" s="12"/>
      <c r="J414" s="12"/>
      <c r="K414" s="12"/>
      <c r="L414" s="12"/>
      <c r="M414" s="12"/>
    </row>
    <row r="415" spans="1:13" ht="15.75" customHeight="1">
      <c r="A415" s="14" t="s">
        <v>597</v>
      </c>
      <c r="B415" s="13"/>
      <c r="C415" s="14"/>
      <c r="D415" s="12"/>
      <c r="E415" s="15"/>
      <c r="F415" s="14"/>
      <c r="G415" s="4"/>
      <c r="I415" s="12"/>
      <c r="J415" s="12"/>
      <c r="K415" s="12"/>
      <c r="L415" s="12"/>
      <c r="M415" s="12"/>
    </row>
    <row r="416" spans="1:13" ht="15.75" customHeight="1">
      <c r="A416" s="14" t="s">
        <v>1169</v>
      </c>
      <c r="B416" s="13"/>
      <c r="C416" s="14"/>
      <c r="D416" s="12"/>
      <c r="E416" s="15"/>
      <c r="F416" s="14"/>
      <c r="G416" s="4"/>
      <c r="I416" s="12"/>
      <c r="J416" s="12"/>
      <c r="K416" s="12"/>
      <c r="L416" s="12"/>
      <c r="M416" s="12"/>
    </row>
    <row r="417" spans="1:13" ht="6" customHeight="1">
      <c r="A417" s="14"/>
      <c r="B417" s="13"/>
      <c r="C417" s="14"/>
      <c r="D417" s="12"/>
      <c r="E417" s="15"/>
      <c r="F417" s="14"/>
      <c r="G417" s="4"/>
      <c r="I417" s="12"/>
      <c r="J417" s="12"/>
      <c r="K417" s="12"/>
      <c r="L417" s="12"/>
      <c r="M417" s="12"/>
    </row>
    <row r="418" spans="1:6" ht="15.75" customHeight="1">
      <c r="A418" s="65" t="s">
        <v>1815</v>
      </c>
      <c r="E418" s="3"/>
      <c r="F418" s="4"/>
    </row>
    <row r="419" spans="1:6" ht="6" customHeight="1">
      <c r="A419" s="4"/>
      <c r="E419" s="3"/>
      <c r="F419" s="4"/>
    </row>
    <row r="420" spans="1:6" ht="15.75" customHeight="1">
      <c r="A420" s="4" t="s">
        <v>1170</v>
      </c>
      <c r="E420" s="3"/>
      <c r="F420" s="4"/>
    </row>
    <row r="421" spans="1:6" ht="15.75" customHeight="1">
      <c r="A421" s="4" t="s">
        <v>2104</v>
      </c>
      <c r="E421" s="3"/>
      <c r="F421" s="4"/>
    </row>
    <row r="422" spans="1:6" ht="15.75" customHeight="1">
      <c r="A422" s="4" t="s">
        <v>1817</v>
      </c>
      <c r="E422" s="3"/>
      <c r="F422" s="4"/>
    </row>
    <row r="423" spans="1:6" ht="15.75" customHeight="1">
      <c r="A423" s="4" t="s">
        <v>1818</v>
      </c>
      <c r="E423" s="3"/>
      <c r="F423" s="4"/>
    </row>
    <row r="424" spans="1:6" ht="6" customHeight="1">
      <c r="A424" s="4"/>
      <c r="E424" s="3"/>
      <c r="F424" s="4"/>
    </row>
    <row r="425" spans="1:6" ht="15.75" customHeight="1">
      <c r="A425" s="4" t="s">
        <v>1819</v>
      </c>
      <c r="B425" s="4"/>
      <c r="C425" s="337"/>
      <c r="E425" s="3"/>
      <c r="F425" s="4"/>
    </row>
    <row r="426" spans="2:6" ht="6" customHeight="1">
      <c r="B426" s="4"/>
      <c r="E426" s="3"/>
      <c r="F426" s="4"/>
    </row>
    <row r="427" spans="1:6" ht="15.75" customHeight="1">
      <c r="A427" s="1" t="s">
        <v>2448</v>
      </c>
      <c r="B427" s="3">
        <f>+B335</f>
        <v>1</v>
      </c>
      <c r="C427" s="4" t="s">
        <v>108</v>
      </c>
      <c r="E427" s="3"/>
      <c r="F427" s="4"/>
    </row>
    <row r="428" spans="2:6" ht="6" customHeight="1">
      <c r="B428" s="3"/>
      <c r="C428" s="4"/>
      <c r="E428" s="3"/>
      <c r="F428" s="4"/>
    </row>
    <row r="429" spans="1:10" ht="15.75" customHeight="1">
      <c r="A429" s="92" t="s">
        <v>2105</v>
      </c>
      <c r="E429" s="3"/>
      <c r="F429" s="4"/>
      <c r="H429" s="92" t="s">
        <v>600</v>
      </c>
      <c r="J429" s="4"/>
    </row>
    <row r="430" spans="1:6" ht="6" customHeight="1">
      <c r="A430" s="92"/>
      <c r="E430" s="3"/>
      <c r="F430" s="4"/>
    </row>
    <row r="431" spans="1:11" ht="15.75" customHeight="1">
      <c r="A431" s="4" t="s">
        <v>1533</v>
      </c>
      <c r="B431" s="3"/>
      <c r="C431" s="3">
        <f>+C331</f>
        <v>-3.5514666666666663</v>
      </c>
      <c r="D431" s="4" t="s">
        <v>699</v>
      </c>
      <c r="E431" s="3"/>
      <c r="F431" s="4"/>
      <c r="H431" s="4" t="s">
        <v>1532</v>
      </c>
      <c r="J431" s="6">
        <f>+J331</f>
        <v>-23972.399999999998</v>
      </c>
      <c r="K431" s="4" t="s">
        <v>700</v>
      </c>
    </row>
    <row r="432" spans="1:6" ht="6" customHeight="1">
      <c r="A432" s="4"/>
      <c r="E432" s="3"/>
      <c r="F432" s="4"/>
    </row>
    <row r="433" spans="1:6" ht="15.75" customHeight="1">
      <c r="A433" s="4" t="s">
        <v>1820</v>
      </c>
      <c r="E433" s="3"/>
      <c r="F433" s="4"/>
    </row>
    <row r="434" spans="2:7" ht="6" customHeight="1">
      <c r="B434" s="3"/>
      <c r="C434" s="4"/>
      <c r="E434" s="3"/>
      <c r="F434" s="4"/>
      <c r="G434" s="75"/>
    </row>
    <row r="435" spans="1:6" ht="15.75" customHeight="1">
      <c r="A435" s="10" t="s">
        <v>1546</v>
      </c>
      <c r="B435" s="11">
        <f>+J431*B427</f>
        <v>-23972.399999999998</v>
      </c>
      <c r="C435" s="9" t="s">
        <v>704</v>
      </c>
      <c r="E435" s="4" t="s">
        <v>1172</v>
      </c>
      <c r="F435" s="4"/>
    </row>
    <row r="436" spans="2:6" ht="15.75" customHeight="1">
      <c r="B436" s="6"/>
      <c r="C436" s="4"/>
      <c r="E436" s="4" t="s">
        <v>1173</v>
      </c>
      <c r="F436" s="4"/>
    </row>
    <row r="437" spans="1:6" ht="15.75" customHeight="1">
      <c r="A437" s="4"/>
      <c r="E437" s="4" t="s">
        <v>599</v>
      </c>
      <c r="F437" s="4"/>
    </row>
    <row r="438" spans="1:6" ht="15.75" customHeight="1">
      <c r="A438" s="4"/>
      <c r="E438" s="4" t="s">
        <v>260</v>
      </c>
      <c r="F438" s="4"/>
    </row>
    <row r="439" spans="1:6" ht="6" customHeight="1">
      <c r="A439" s="4"/>
      <c r="E439" s="4"/>
      <c r="F439" s="4"/>
    </row>
    <row r="440" spans="1:13" ht="15.75" customHeight="1">
      <c r="A440" s="14" t="s">
        <v>601</v>
      </c>
      <c r="B440" s="13"/>
      <c r="C440" s="14"/>
      <c r="D440" s="12"/>
      <c r="E440" s="15"/>
      <c r="F440" s="14"/>
      <c r="G440" s="4"/>
      <c r="I440" s="12"/>
      <c r="J440" s="12"/>
      <c r="K440" s="12"/>
      <c r="L440" s="12"/>
      <c r="M440" s="12"/>
    </row>
    <row r="441" spans="1:13" ht="15.75" customHeight="1">
      <c r="A441" s="14" t="s">
        <v>602</v>
      </c>
      <c r="B441" s="13"/>
      <c r="C441" s="14"/>
      <c r="D441" s="12"/>
      <c r="E441" s="15"/>
      <c r="F441" s="14"/>
      <c r="G441" s="4"/>
      <c r="I441" s="12"/>
      <c r="J441" s="12"/>
      <c r="K441" s="12"/>
      <c r="L441" s="12"/>
      <c r="M441" s="12"/>
    </row>
    <row r="442" spans="1:13" ht="15.75" customHeight="1">
      <c r="A442" s="14" t="s">
        <v>603</v>
      </c>
      <c r="B442" s="13"/>
      <c r="C442" s="14"/>
      <c r="D442" s="12"/>
      <c r="E442" s="15"/>
      <c r="F442" s="14"/>
      <c r="G442" s="4"/>
      <c r="I442" s="12"/>
      <c r="J442" s="12"/>
      <c r="K442" s="12"/>
      <c r="L442" s="12"/>
      <c r="M442" s="12"/>
    </row>
    <row r="443" spans="1:13" ht="15.75" customHeight="1">
      <c r="A443" s="14" t="s">
        <v>605</v>
      </c>
      <c r="B443" s="13"/>
      <c r="C443" s="14"/>
      <c r="D443" s="12"/>
      <c r="E443" s="15"/>
      <c r="F443" s="14"/>
      <c r="G443" s="4"/>
      <c r="I443" s="12"/>
      <c r="J443" s="12"/>
      <c r="K443" s="12"/>
      <c r="L443" s="12"/>
      <c r="M443" s="12"/>
    </row>
    <row r="444" spans="1:13" ht="15.75" customHeight="1">
      <c r="A444" s="14" t="s">
        <v>604</v>
      </c>
      <c r="B444" s="13"/>
      <c r="C444" s="14"/>
      <c r="D444" s="12"/>
      <c r="E444" s="15"/>
      <c r="F444" s="14"/>
      <c r="G444" s="4"/>
      <c r="I444" s="12"/>
      <c r="J444" s="12"/>
      <c r="K444" s="12"/>
      <c r="L444" s="12"/>
      <c r="M444" s="12"/>
    </row>
    <row r="445" spans="1:13" ht="6" customHeight="1">
      <c r="A445" s="84"/>
      <c r="B445" s="13"/>
      <c r="C445" s="14"/>
      <c r="D445" s="12"/>
      <c r="E445" s="15"/>
      <c r="F445" s="14"/>
      <c r="G445" s="4"/>
      <c r="I445" s="12"/>
      <c r="J445" s="12"/>
      <c r="K445" s="12"/>
      <c r="L445" s="12"/>
      <c r="M445" s="12"/>
    </row>
    <row r="446" spans="1:13" ht="15.75" customHeight="1">
      <c r="A446" s="14" t="s">
        <v>2112</v>
      </c>
      <c r="B446" s="13"/>
      <c r="C446" s="14"/>
      <c r="D446" s="12"/>
      <c r="E446" s="15"/>
      <c r="F446" s="14"/>
      <c r="G446" s="4"/>
      <c r="H446" s="12"/>
      <c r="I446" s="12"/>
      <c r="J446" s="12"/>
      <c r="K446" s="12"/>
      <c r="L446" s="12"/>
      <c r="M446" s="12"/>
    </row>
    <row r="447" spans="1:13" ht="15.75" customHeight="1">
      <c r="A447" s="14" t="s">
        <v>509</v>
      </c>
      <c r="B447" s="13"/>
      <c r="C447" s="14"/>
      <c r="D447" s="12"/>
      <c r="E447" s="15"/>
      <c r="F447" s="14"/>
      <c r="G447" s="4"/>
      <c r="H447" s="12"/>
      <c r="I447" s="12"/>
      <c r="J447" s="12"/>
      <c r="K447" s="12"/>
      <c r="L447" s="12"/>
      <c r="M447" s="12"/>
    </row>
    <row r="448" spans="1:13" ht="15.75" customHeight="1">
      <c r="A448" s="14" t="s">
        <v>261</v>
      </c>
      <c r="B448" s="13"/>
      <c r="C448" s="14"/>
      <c r="D448" s="12"/>
      <c r="E448" s="15"/>
      <c r="F448" s="14"/>
      <c r="G448" s="4"/>
      <c r="H448" s="4" t="s">
        <v>263</v>
      </c>
      <c r="I448" s="12"/>
      <c r="J448" s="12"/>
      <c r="K448" s="130">
        <f>+ABS(C431)*K241*K242+(1/4)*PI()*(K241^2)/4*K242</f>
        <v>3.6496414370913475</v>
      </c>
      <c r="L448" s="4" t="s">
        <v>109</v>
      </c>
      <c r="M448" s="12"/>
    </row>
    <row r="449" spans="1:13" ht="15.75" customHeight="1">
      <c r="A449" s="14" t="s">
        <v>262</v>
      </c>
      <c r="B449" s="13"/>
      <c r="C449" s="14"/>
      <c r="D449" s="12"/>
      <c r="E449" s="15"/>
      <c r="F449" s="14"/>
      <c r="G449" s="4"/>
      <c r="H449" s="12"/>
      <c r="I449" s="12"/>
      <c r="J449" s="12"/>
      <c r="K449" s="12"/>
      <c r="L449" s="12"/>
      <c r="M449" s="12"/>
    </row>
    <row r="450" spans="1:13" ht="15.75" customHeight="1">
      <c r="A450" s="14" t="s">
        <v>1822</v>
      </c>
      <c r="B450" s="13"/>
      <c r="C450" s="14"/>
      <c r="D450" s="12"/>
      <c r="E450" s="15"/>
      <c r="F450" s="14"/>
      <c r="G450" s="4"/>
      <c r="H450" s="4" t="s">
        <v>2501</v>
      </c>
      <c r="I450" s="12"/>
      <c r="J450" s="13">
        <f>+$B$241*K448</f>
        <v>24635.079700366594</v>
      </c>
      <c r="K450" s="4" t="s">
        <v>704</v>
      </c>
      <c r="L450" s="12"/>
      <c r="M450" s="12"/>
    </row>
    <row r="451" spans="1:13" ht="6" customHeight="1">
      <c r="A451" s="14"/>
      <c r="B451" s="13"/>
      <c r="C451" s="14"/>
      <c r="D451" s="12"/>
      <c r="E451" s="15"/>
      <c r="F451" s="14"/>
      <c r="G451" s="4"/>
      <c r="H451" s="4"/>
      <c r="I451" s="12"/>
      <c r="J451" s="13"/>
      <c r="K451" s="4"/>
      <c r="L451" s="12"/>
      <c r="M451" s="12"/>
    </row>
    <row r="452" spans="1:13" ht="15.75" customHeight="1">
      <c r="A452" s="14" t="s">
        <v>2113</v>
      </c>
      <c r="B452" s="13"/>
      <c r="C452" s="14"/>
      <c r="D452" s="12"/>
      <c r="E452" s="15"/>
      <c r="F452" s="14"/>
      <c r="G452" s="4"/>
      <c r="H452" s="12"/>
      <c r="I452" s="12"/>
      <c r="J452" s="12"/>
      <c r="K452" s="12"/>
      <c r="L452" s="12"/>
      <c r="M452" s="12"/>
    </row>
    <row r="453" spans="1:13" ht="15.75" customHeight="1">
      <c r="A453" s="14" t="s">
        <v>1804</v>
      </c>
      <c r="B453" s="13"/>
      <c r="C453" s="14"/>
      <c r="D453" s="12"/>
      <c r="E453" s="15"/>
      <c r="F453" s="14"/>
      <c r="G453" s="4"/>
      <c r="H453" s="12"/>
      <c r="I453" s="12"/>
      <c r="J453" s="12"/>
      <c r="K453" s="12"/>
      <c r="L453" s="12"/>
      <c r="M453" s="12"/>
    </row>
    <row r="454" spans="1:13" ht="15.75" customHeight="1">
      <c r="A454" s="14" t="s">
        <v>1805</v>
      </c>
      <c r="B454" s="13"/>
      <c r="C454" s="14"/>
      <c r="D454" s="12"/>
      <c r="E454" s="15"/>
      <c r="F454" s="14"/>
      <c r="G454" s="4"/>
      <c r="H454" s="4" t="s">
        <v>265</v>
      </c>
      <c r="I454" s="12"/>
      <c r="J454" s="12"/>
      <c r="K454" s="130">
        <f>+ABS(C431)*K241*K242-(1/4)*PI()*(K241^2)/4*K242</f>
        <v>3.453291896241985</v>
      </c>
      <c r="L454" s="4" t="s">
        <v>109</v>
      </c>
      <c r="M454" s="12"/>
    </row>
    <row r="455" spans="1:13" ht="15.75" customHeight="1">
      <c r="A455" s="14" t="s">
        <v>1806</v>
      </c>
      <c r="B455" s="13"/>
      <c r="C455" s="14"/>
      <c r="D455" s="12"/>
      <c r="E455" s="15"/>
      <c r="F455" s="14"/>
      <c r="G455" s="4"/>
      <c r="H455" s="12"/>
      <c r="I455" s="12"/>
      <c r="J455" s="12"/>
      <c r="K455" s="12"/>
      <c r="L455" s="12"/>
      <c r="M455" s="12"/>
    </row>
    <row r="456" spans="1:13" ht="15.75" customHeight="1">
      <c r="A456" s="14" t="s">
        <v>2504</v>
      </c>
      <c r="B456" s="13"/>
      <c r="C456" s="14"/>
      <c r="D456" s="12"/>
      <c r="E456" s="15"/>
      <c r="F456" s="14"/>
      <c r="G456" s="4"/>
      <c r="H456" s="4" t="s">
        <v>2115</v>
      </c>
      <c r="I456" s="12"/>
      <c r="J456" s="13">
        <f>+$B$241*K454</f>
        <v>23309.7202996334</v>
      </c>
      <c r="K456" s="4" t="s">
        <v>704</v>
      </c>
      <c r="L456" s="12"/>
      <c r="M456" s="12"/>
    </row>
    <row r="457" spans="1:13" ht="6" customHeight="1">
      <c r="A457" s="14"/>
      <c r="B457" s="13"/>
      <c r="C457" s="14"/>
      <c r="D457" s="12"/>
      <c r="E457" s="15"/>
      <c r="F457" s="14"/>
      <c r="G457" s="4"/>
      <c r="H457" s="4"/>
      <c r="I457" s="12"/>
      <c r="J457" s="13"/>
      <c r="K457" s="4"/>
      <c r="L457" s="12"/>
      <c r="M457" s="12"/>
    </row>
    <row r="458" spans="1:13" ht="15.75" customHeight="1">
      <c r="A458" s="14" t="s">
        <v>2505</v>
      </c>
      <c r="B458" s="13"/>
      <c r="C458" s="14"/>
      <c r="D458" s="12"/>
      <c r="E458" s="15"/>
      <c r="F458" s="14"/>
      <c r="G458" s="4"/>
      <c r="H458" s="4"/>
      <c r="I458" s="12"/>
      <c r="J458" s="13"/>
      <c r="K458" s="4"/>
      <c r="L458" s="12"/>
      <c r="M458" s="12"/>
    </row>
    <row r="459" spans="1:13" ht="6" customHeight="1">
      <c r="A459" s="84"/>
      <c r="B459" s="13"/>
      <c r="C459" s="14"/>
      <c r="D459" s="12"/>
      <c r="E459" s="15"/>
      <c r="F459" s="14"/>
      <c r="G459" s="4"/>
      <c r="I459" s="12"/>
      <c r="J459" s="12"/>
      <c r="K459" s="12"/>
      <c r="L459" s="12"/>
      <c r="M459" s="12"/>
    </row>
    <row r="460" spans="1:13" ht="15.75" customHeight="1">
      <c r="A460" s="9" t="s">
        <v>266</v>
      </c>
      <c r="B460" s="11"/>
      <c r="C460" s="11">
        <f>+J450-J456</f>
        <v>1325.3594007331922</v>
      </c>
      <c r="D460" s="9" t="s">
        <v>704</v>
      </c>
      <c r="E460" s="15"/>
      <c r="F460" s="14"/>
      <c r="G460" s="4"/>
      <c r="I460" s="12"/>
      <c r="J460" s="12"/>
      <c r="K460" s="12"/>
      <c r="L460" s="12"/>
      <c r="M460" s="12"/>
    </row>
    <row r="461" spans="1:13" ht="6" customHeight="1">
      <c r="A461" s="84"/>
      <c r="B461" s="13"/>
      <c r="C461" s="14"/>
      <c r="D461" s="12"/>
      <c r="E461" s="15"/>
      <c r="F461" s="14"/>
      <c r="G461" s="4"/>
      <c r="I461" s="12"/>
      <c r="J461" s="12"/>
      <c r="K461" s="12"/>
      <c r="L461" s="12"/>
      <c r="M461" s="12"/>
    </row>
    <row r="462" spans="1:13" ht="15.75" customHeight="1">
      <c r="A462" s="14" t="s">
        <v>2117</v>
      </c>
      <c r="B462" s="13"/>
      <c r="C462" s="14"/>
      <c r="D462" s="12"/>
      <c r="E462" s="15"/>
      <c r="F462" s="14"/>
      <c r="G462" s="4"/>
      <c r="I462" s="12"/>
      <c r="J462" s="12"/>
      <c r="K462" s="12"/>
      <c r="L462" s="12"/>
      <c r="M462" s="12"/>
    </row>
    <row r="463" spans="1:13" ht="15.75" customHeight="1">
      <c r="A463" s="14" t="s">
        <v>2506</v>
      </c>
      <c r="B463" s="13"/>
      <c r="C463" s="14"/>
      <c r="D463" s="12"/>
      <c r="E463" s="15"/>
      <c r="F463" s="14"/>
      <c r="G463" s="4"/>
      <c r="I463" s="12"/>
      <c r="J463" s="12"/>
      <c r="K463" s="12"/>
      <c r="L463" s="12"/>
      <c r="M463" s="12"/>
    </row>
    <row r="464" spans="1:13" ht="15.75" customHeight="1">
      <c r="A464" s="14" t="s">
        <v>1265</v>
      </c>
      <c r="B464" s="13"/>
      <c r="C464" s="14"/>
      <c r="D464" s="12"/>
      <c r="E464" s="15"/>
      <c r="F464" s="14"/>
      <c r="G464" s="4"/>
      <c r="I464" s="12"/>
      <c r="J464" s="12"/>
      <c r="K464" s="12"/>
      <c r="L464" s="12"/>
      <c r="M464" s="12"/>
    </row>
    <row r="465" spans="1:13" ht="15.75" customHeight="1">
      <c r="A465" s="14" t="s">
        <v>606</v>
      </c>
      <c r="B465" s="13"/>
      <c r="C465" s="14"/>
      <c r="D465" s="12"/>
      <c r="E465" s="15"/>
      <c r="F465" s="14"/>
      <c r="G465" s="4"/>
      <c r="I465" s="12"/>
      <c r="J465" s="12"/>
      <c r="K465" s="12"/>
      <c r="L465" s="12"/>
      <c r="M465" s="12"/>
    </row>
    <row r="466" spans="1:13" ht="15.75" customHeight="1">
      <c r="A466" s="14" t="s">
        <v>607</v>
      </c>
      <c r="B466" s="13"/>
      <c r="C466" s="14"/>
      <c r="D466" s="12"/>
      <c r="E466" s="15"/>
      <c r="F466" s="14"/>
      <c r="G466" s="4"/>
      <c r="I466" s="12"/>
      <c r="J466" s="12"/>
      <c r="K466" s="12"/>
      <c r="L466" s="12"/>
      <c r="M466" s="12"/>
    </row>
    <row r="467" spans="1:13" ht="15.75" customHeight="1">
      <c r="A467" s="14" t="s">
        <v>1266</v>
      </c>
      <c r="B467" s="13"/>
      <c r="C467" s="14"/>
      <c r="D467" s="12"/>
      <c r="E467" s="15"/>
      <c r="F467" s="14"/>
      <c r="G467" s="4"/>
      <c r="I467" s="12"/>
      <c r="J467" s="12"/>
      <c r="K467" s="12"/>
      <c r="L467" s="12"/>
      <c r="M467" s="12"/>
    </row>
    <row r="468" spans="1:13" ht="15.75" customHeight="1">
      <c r="A468" s="14" t="s">
        <v>1230</v>
      </c>
      <c r="B468" s="13"/>
      <c r="C468" s="14"/>
      <c r="D468" s="12"/>
      <c r="E468" s="15"/>
      <c r="F468" s="14"/>
      <c r="G468" s="4"/>
      <c r="I468" s="12"/>
      <c r="J468" s="12"/>
      <c r="K468" s="12"/>
      <c r="L468" s="12"/>
      <c r="M468" s="12"/>
    </row>
    <row r="469" spans="1:13" ht="15.75" customHeight="1">
      <c r="A469" s="14" t="s">
        <v>1231</v>
      </c>
      <c r="B469" s="13"/>
      <c r="C469" s="14"/>
      <c r="D469" s="12"/>
      <c r="E469" s="15"/>
      <c r="F469" s="14"/>
      <c r="G469" s="4"/>
      <c r="I469" s="12"/>
      <c r="J469" s="12"/>
      <c r="K469" s="12"/>
      <c r="L469" s="12"/>
      <c r="M469" s="12"/>
    </row>
    <row r="470" spans="2:6" s="12" customFormat="1" ht="6" customHeight="1">
      <c r="B470" s="13"/>
      <c r="C470" s="14"/>
      <c r="E470" s="15"/>
      <c r="F470" s="14"/>
    </row>
    <row r="471" spans="1:13" ht="6" customHeight="1">
      <c r="A471" s="87"/>
      <c r="B471" s="87"/>
      <c r="C471" s="88"/>
      <c r="D471" s="87"/>
      <c r="E471" s="87"/>
      <c r="F471" s="88"/>
      <c r="G471" s="87"/>
      <c r="H471" s="87"/>
      <c r="I471" s="87"/>
      <c r="J471" s="87"/>
      <c r="K471" s="87"/>
      <c r="L471" s="87"/>
      <c r="M471" s="87"/>
    </row>
    <row r="472" ht="6" customHeight="1">
      <c r="A472" s="5"/>
    </row>
    <row r="473" ht="15.75" customHeight="1">
      <c r="A473" s="85" t="s">
        <v>1778</v>
      </c>
    </row>
    <row r="474" ht="6" customHeight="1">
      <c r="A474" s="5"/>
    </row>
    <row r="475" ht="15.75" customHeight="1">
      <c r="A475" s="5" t="s">
        <v>112</v>
      </c>
    </row>
    <row r="476" ht="6" customHeight="1">
      <c r="A476" s="5"/>
    </row>
    <row r="477" spans="1:12" ht="15.75" customHeight="1">
      <c r="A477" s="2" t="s">
        <v>698</v>
      </c>
      <c r="B477" s="1">
        <v>8000</v>
      </c>
      <c r="C477" s="4" t="s">
        <v>713</v>
      </c>
      <c r="D477" s="2" t="s">
        <v>705</v>
      </c>
      <c r="E477" s="6">
        <v>45</v>
      </c>
      <c r="F477" s="4" t="s">
        <v>706</v>
      </c>
      <c r="G477" s="1" t="s">
        <v>2286</v>
      </c>
      <c r="H477" s="3">
        <v>3.1</v>
      </c>
      <c r="I477" s="22" t="s">
        <v>699</v>
      </c>
      <c r="J477" s="1" t="s">
        <v>2297</v>
      </c>
      <c r="K477" s="3">
        <v>1.2</v>
      </c>
      <c r="L477" s="22" t="s">
        <v>699</v>
      </c>
    </row>
    <row r="478" spans="1:12" ht="6" customHeight="1">
      <c r="A478" s="2"/>
      <c r="C478" s="4"/>
      <c r="D478" s="2"/>
      <c r="E478" s="6"/>
      <c r="F478" s="4"/>
      <c r="H478" s="3"/>
      <c r="I478" s="22"/>
      <c r="K478" s="3"/>
      <c r="L478" s="22"/>
    </row>
    <row r="479" spans="1:12" ht="15.75" customHeight="1">
      <c r="A479" s="5" t="s">
        <v>1782</v>
      </c>
      <c r="C479" s="4"/>
      <c r="D479" s="2"/>
      <c r="E479" s="6"/>
      <c r="F479" s="4"/>
      <c r="H479" s="3"/>
      <c r="I479" s="22"/>
      <c r="K479" s="3"/>
      <c r="L479" s="22"/>
    </row>
    <row r="480" spans="1:12" ht="6" customHeight="1">
      <c r="A480" s="2"/>
      <c r="C480" s="4"/>
      <c r="D480" s="2"/>
      <c r="E480" s="6"/>
      <c r="F480" s="4"/>
      <c r="H480" s="3"/>
      <c r="I480" s="22"/>
      <c r="K480" s="3"/>
      <c r="L480" s="22"/>
    </row>
    <row r="481" spans="1:12" ht="15.75" customHeight="1">
      <c r="A481" s="5" t="s">
        <v>113</v>
      </c>
      <c r="C481" s="4"/>
      <c r="D481" s="2"/>
      <c r="E481" s="6"/>
      <c r="F481" s="4"/>
      <c r="H481" s="3"/>
      <c r="I481" s="22"/>
      <c r="K481" s="3"/>
      <c r="L481" s="22"/>
    </row>
    <row r="482" spans="1:3" ht="6" customHeight="1">
      <c r="A482" s="2"/>
      <c r="C482" s="4"/>
    </row>
    <row r="483" spans="2:5" ht="15.75" customHeight="1">
      <c r="B483" s="5" t="s">
        <v>1779</v>
      </c>
      <c r="C483" s="5"/>
      <c r="E483" s="104" t="s">
        <v>1900</v>
      </c>
    </row>
    <row r="484" spans="1:7" ht="6" customHeight="1">
      <c r="A484" s="21"/>
      <c r="G484" s="5"/>
    </row>
    <row r="485" spans="1:12" ht="15.75" customHeight="1">
      <c r="A485" s="1" t="s">
        <v>1765</v>
      </c>
      <c r="B485" s="3">
        <f>+H477-(K477/2)*COS(RADIANS(E477))</f>
        <v>2.6757359312880715</v>
      </c>
      <c r="C485" s="4" t="s">
        <v>699</v>
      </c>
      <c r="D485" s="1" t="s">
        <v>1766</v>
      </c>
      <c r="E485" s="6">
        <f>+B477*B485</f>
        <v>21405.887450304574</v>
      </c>
      <c r="F485" s="4" t="s">
        <v>700</v>
      </c>
      <c r="G485" s="1" t="s">
        <v>2517</v>
      </c>
      <c r="H485" s="3">
        <f>+PI()*(K477^2)/4</f>
        <v>1.1309733552923256</v>
      </c>
      <c r="I485" s="4" t="s">
        <v>108</v>
      </c>
      <c r="J485" s="2" t="s">
        <v>1780</v>
      </c>
      <c r="K485" s="6">
        <f>+E485*H485</f>
        <v>24209.488352680848</v>
      </c>
      <c r="L485" s="22" t="s">
        <v>704</v>
      </c>
    </row>
    <row r="486" spans="2:12" ht="6" customHeight="1">
      <c r="B486" s="3"/>
      <c r="C486" s="4"/>
      <c r="D486" s="4"/>
      <c r="F486" s="4"/>
      <c r="H486" s="3"/>
      <c r="I486" s="4"/>
      <c r="K486" s="6"/>
      <c r="L486" s="22"/>
    </row>
    <row r="487" spans="1:9" ht="15.75" customHeight="1">
      <c r="A487" s="1" t="s">
        <v>1781</v>
      </c>
      <c r="B487" s="3">
        <f>+(1/2)*(4/3)*PI()*(K477/2)^3</f>
        <v>0.45238934211693016</v>
      </c>
      <c r="C487" s="4" t="s">
        <v>109</v>
      </c>
      <c r="D487" s="1" t="s">
        <v>2303</v>
      </c>
      <c r="E487" s="6">
        <f>+B487*B477</f>
        <v>3619.114736935441</v>
      </c>
      <c r="F487" s="22" t="s">
        <v>704</v>
      </c>
      <c r="I487" s="6"/>
    </row>
    <row r="488" spans="1:12" ht="6" customHeight="1">
      <c r="A488" s="21"/>
      <c r="D488" s="12"/>
      <c r="E488" s="12"/>
      <c r="F488" s="12"/>
      <c r="G488" s="5"/>
      <c r="J488" s="104"/>
      <c r="L488" s="12"/>
    </row>
    <row r="489" spans="1:12" ht="15.75" customHeight="1">
      <c r="A489" s="10" t="s">
        <v>2538</v>
      </c>
      <c r="B489" s="11">
        <f>+K485*COS(RADIANS(E477))</f>
        <v>17118.69338323737</v>
      </c>
      <c r="C489" s="9" t="s">
        <v>704</v>
      </c>
      <c r="D489" s="10"/>
      <c r="E489" s="10" t="s">
        <v>2539</v>
      </c>
      <c r="F489" s="11">
        <f>+K485*SIN(RADIANS(E477))+E487</f>
        <v>20737.808120172806</v>
      </c>
      <c r="G489" s="9" t="s">
        <v>704</v>
      </c>
      <c r="H489" s="10" t="s">
        <v>2299</v>
      </c>
      <c r="I489" s="11">
        <f>+SQRT(B489^2+F489^2)</f>
        <v>26890.63682359345</v>
      </c>
      <c r="J489" s="9" t="s">
        <v>704</v>
      </c>
      <c r="L489" s="12"/>
    </row>
    <row r="490" spans="1:12" ht="6" customHeight="1">
      <c r="A490" s="105"/>
      <c r="B490" s="106"/>
      <c r="C490" s="69"/>
      <c r="D490" s="68"/>
      <c r="E490" s="106"/>
      <c r="F490" s="69"/>
      <c r="G490" s="68"/>
      <c r="H490" s="107"/>
      <c r="I490" s="68"/>
      <c r="J490" s="68"/>
      <c r="K490" s="69"/>
      <c r="L490" s="68"/>
    </row>
    <row r="491" spans="1:13" ht="6" customHeight="1">
      <c r="A491" s="108"/>
      <c r="B491" s="109"/>
      <c r="C491" s="110"/>
      <c r="D491" s="108"/>
      <c r="E491" s="108"/>
      <c r="F491" s="109"/>
      <c r="G491" s="110"/>
      <c r="H491" s="108"/>
      <c r="I491" s="111"/>
      <c r="J491" s="112"/>
      <c r="K491" s="108"/>
      <c r="L491" s="108"/>
      <c r="M491" s="87"/>
    </row>
    <row r="492" ht="6" customHeight="1">
      <c r="A492" s="5"/>
    </row>
    <row r="493" ht="15.75" customHeight="1">
      <c r="A493" s="85" t="s">
        <v>1783</v>
      </c>
    </row>
    <row r="494" ht="6" customHeight="1">
      <c r="A494" s="5"/>
    </row>
    <row r="495" ht="15.75" customHeight="1">
      <c r="A495" s="5" t="s">
        <v>112</v>
      </c>
    </row>
    <row r="496" ht="6" customHeight="1">
      <c r="A496" s="5"/>
    </row>
    <row r="497" spans="1:12" ht="15.75" customHeight="1">
      <c r="A497" s="2" t="s">
        <v>698</v>
      </c>
      <c r="B497" s="1">
        <v>7354</v>
      </c>
      <c r="C497" s="4" t="s">
        <v>713</v>
      </c>
      <c r="D497" s="1" t="s">
        <v>2286</v>
      </c>
      <c r="E497" s="3">
        <v>1.2</v>
      </c>
      <c r="F497" s="22" t="s">
        <v>699</v>
      </c>
      <c r="G497" s="1" t="s">
        <v>2297</v>
      </c>
      <c r="H497" s="3">
        <v>1.8</v>
      </c>
      <c r="I497" s="22" t="s">
        <v>699</v>
      </c>
      <c r="J497" s="2" t="s">
        <v>705</v>
      </c>
      <c r="K497" s="1">
        <v>30</v>
      </c>
      <c r="L497" s="22" t="s">
        <v>706</v>
      </c>
    </row>
    <row r="498" spans="1:9" ht="15.75" customHeight="1">
      <c r="A498" s="2" t="s">
        <v>2277</v>
      </c>
      <c r="B498" s="1">
        <v>133362</v>
      </c>
      <c r="C498" s="4" t="s">
        <v>713</v>
      </c>
      <c r="D498" s="2" t="s">
        <v>702</v>
      </c>
      <c r="E498" s="3">
        <v>0.5</v>
      </c>
      <c r="F498" s="22" t="s">
        <v>699</v>
      </c>
      <c r="G498" s="1" t="s">
        <v>711</v>
      </c>
      <c r="H498" s="3">
        <v>5</v>
      </c>
      <c r="I498" s="22" t="s">
        <v>699</v>
      </c>
    </row>
    <row r="499" spans="1:9" ht="6" customHeight="1">
      <c r="A499" s="2"/>
      <c r="C499" s="4"/>
      <c r="D499" s="2"/>
      <c r="E499" s="3"/>
      <c r="F499" s="22"/>
      <c r="H499" s="3"/>
      <c r="I499" s="22"/>
    </row>
    <row r="500" spans="1:9" ht="15.75" customHeight="1">
      <c r="A500" s="5" t="s">
        <v>2033</v>
      </c>
      <c r="C500" s="4"/>
      <c r="D500" s="2"/>
      <c r="E500" s="3"/>
      <c r="F500" s="22"/>
      <c r="H500" s="3"/>
      <c r="I500" s="22"/>
    </row>
    <row r="501" spans="1:9" ht="6" customHeight="1">
      <c r="A501" s="2"/>
      <c r="C501" s="4"/>
      <c r="D501" s="2"/>
      <c r="E501" s="3"/>
      <c r="F501" s="22"/>
      <c r="H501" s="3"/>
      <c r="I501" s="22"/>
    </row>
    <row r="502" spans="1:9" ht="15.75" customHeight="1">
      <c r="A502" s="5" t="s">
        <v>113</v>
      </c>
      <c r="C502" s="4"/>
      <c r="D502" s="2"/>
      <c r="E502" s="3"/>
      <c r="F502" s="22"/>
      <c r="H502" s="3"/>
      <c r="I502" s="22"/>
    </row>
    <row r="503" spans="1:6" ht="6" customHeight="1">
      <c r="A503" s="2"/>
      <c r="C503" s="4"/>
      <c r="E503" s="3"/>
      <c r="F503" s="22"/>
    </row>
    <row r="504" spans="1:12" ht="15.75" customHeight="1">
      <c r="A504" s="1" t="s">
        <v>2278</v>
      </c>
      <c r="B504" s="6">
        <f>+B498*E498</f>
        <v>66681</v>
      </c>
      <c r="C504" s="69" t="s">
        <v>700</v>
      </c>
      <c r="D504" s="1" t="s">
        <v>2280</v>
      </c>
      <c r="E504" s="3">
        <f>+B504/B497</f>
        <v>9.067310307315747</v>
      </c>
      <c r="F504" s="66" t="s">
        <v>699</v>
      </c>
      <c r="K504" s="3"/>
      <c r="L504" s="4"/>
    </row>
    <row r="505" spans="1:12" ht="6" customHeight="1">
      <c r="A505" s="66"/>
      <c r="B505" s="68"/>
      <c r="C505" s="116"/>
      <c r="D505" s="117"/>
      <c r="E505" s="118"/>
      <c r="F505" s="117"/>
      <c r="G505" s="69"/>
      <c r="H505" s="68"/>
      <c r="I505" s="68"/>
      <c r="J505" s="68"/>
      <c r="K505" s="68"/>
      <c r="L505" s="68"/>
    </row>
    <row r="506" spans="1:12" ht="15.75" customHeight="1">
      <c r="A506" s="66"/>
      <c r="B506" s="5" t="s">
        <v>1779</v>
      </c>
      <c r="C506" s="5"/>
      <c r="E506" s="104" t="s">
        <v>1784</v>
      </c>
      <c r="G506" s="69"/>
      <c r="H506" s="68"/>
      <c r="I506" s="68"/>
      <c r="J506" s="68"/>
      <c r="K506" s="68"/>
      <c r="L506" s="68"/>
    </row>
    <row r="507" spans="1:14" ht="6" customHeight="1">
      <c r="A507" s="66"/>
      <c r="B507" s="68"/>
      <c r="C507" s="116"/>
      <c r="D507" s="117"/>
      <c r="E507" s="118"/>
      <c r="F507" s="117"/>
      <c r="G507" s="69"/>
      <c r="H507" s="68"/>
      <c r="I507" s="68"/>
      <c r="J507" s="68"/>
      <c r="K507" s="68"/>
      <c r="L507" s="68"/>
      <c r="M507" s="12"/>
      <c r="N507" s="12"/>
    </row>
    <row r="508" spans="1:14" ht="15.75" customHeight="1">
      <c r="A508" s="1" t="s">
        <v>1765</v>
      </c>
      <c r="B508" s="3">
        <f>+E504-E497-H498*SIN(RADIANS(K497))</f>
        <v>5.367310307315748</v>
      </c>
      <c r="C508" s="4" t="s">
        <v>699</v>
      </c>
      <c r="D508" s="1" t="s">
        <v>1766</v>
      </c>
      <c r="E508" s="6">
        <f>+B497*B508</f>
        <v>39471.20000000001</v>
      </c>
      <c r="F508" s="4" t="s">
        <v>700</v>
      </c>
      <c r="G508" s="1" t="s">
        <v>2517</v>
      </c>
      <c r="H508" s="3">
        <f>+PI()*(H497^2)/4</f>
        <v>2.5446900494077327</v>
      </c>
      <c r="I508" s="4" t="s">
        <v>108</v>
      </c>
      <c r="J508" s="2" t="s">
        <v>1780</v>
      </c>
      <c r="K508" s="6">
        <f>+E508*H508</f>
        <v>100441.96987818253</v>
      </c>
      <c r="L508" s="22" t="s">
        <v>704</v>
      </c>
      <c r="M508" s="12"/>
      <c r="N508" s="12"/>
    </row>
    <row r="509" spans="1:14" ht="6" customHeight="1">
      <c r="A509"/>
      <c r="B509"/>
      <c r="C509"/>
      <c r="D509"/>
      <c r="E509"/>
      <c r="F509"/>
      <c r="K509" s="6"/>
      <c r="L509" s="22"/>
      <c r="M509" s="12"/>
      <c r="N509" s="12"/>
    </row>
    <row r="510" spans="1:14" ht="15.75" customHeight="1">
      <c r="A510" s="1" t="s">
        <v>1781</v>
      </c>
      <c r="B510" s="3">
        <f>+(1/2)*(4/3)*PI()*(H497/2)^3</f>
        <v>1.5268140296446395</v>
      </c>
      <c r="C510" s="4" t="s">
        <v>109</v>
      </c>
      <c r="D510" s="1" t="s">
        <v>2303</v>
      </c>
      <c r="E510" s="6">
        <f>+B510*B497</f>
        <v>11228.19037400668</v>
      </c>
      <c r="F510" s="22" t="s">
        <v>704</v>
      </c>
      <c r="M510" s="12"/>
      <c r="N510" s="12"/>
    </row>
    <row r="511" spans="1:14" ht="6" customHeight="1">
      <c r="A511"/>
      <c r="B511"/>
      <c r="C511"/>
      <c r="D511"/>
      <c r="E511"/>
      <c r="F511"/>
      <c r="M511" s="12"/>
      <c r="N511" s="12"/>
    </row>
    <row r="512" spans="1:14" ht="15.75" customHeight="1">
      <c r="A512" s="10" t="s">
        <v>2538</v>
      </c>
      <c r="B512" s="11">
        <f>+K508*COS(RADIANS(K497))</f>
        <v>86985.29752065745</v>
      </c>
      <c r="C512" s="9" t="s">
        <v>704</v>
      </c>
      <c r="D512" s="10"/>
      <c r="E512" s="10" t="s">
        <v>2539</v>
      </c>
      <c r="F512" s="11">
        <f>+K508*SIN(RADIANS(K497))+E510</f>
        <v>61449.175313097934</v>
      </c>
      <c r="G512" s="9" t="s">
        <v>704</v>
      </c>
      <c r="H512" s="10" t="s">
        <v>2299</v>
      </c>
      <c r="I512" s="11">
        <f>+SQRT(B512^2+F512^2)</f>
        <v>106500.90671640847</v>
      </c>
      <c r="J512" s="9" t="s">
        <v>704</v>
      </c>
      <c r="M512" s="12"/>
      <c r="N512" s="12"/>
    </row>
    <row r="513" spans="1:14" ht="6" customHeight="1">
      <c r="A513"/>
      <c r="B513"/>
      <c r="C513"/>
      <c r="D513"/>
      <c r="E513"/>
      <c r="F513"/>
      <c r="M513" s="12"/>
      <c r="N513" s="12"/>
    </row>
    <row r="514" spans="1:14" ht="15.75" customHeight="1">
      <c r="A514" s="10" t="s">
        <v>1785</v>
      </c>
      <c r="B514" s="11">
        <f>+K508+E510*SIN(RADIANS(K497))</f>
        <v>106056.06506518586</v>
      </c>
      <c r="C514" s="9" t="s">
        <v>704</v>
      </c>
      <c r="D514" s="10"/>
      <c r="E514" s="10" t="s">
        <v>1786</v>
      </c>
      <c r="F514" s="11">
        <f>+E510*COS(RADIANS(K497))</f>
        <v>9723.898102417683</v>
      </c>
      <c r="G514" s="9" t="s">
        <v>704</v>
      </c>
      <c r="H514" s="10" t="s">
        <v>2299</v>
      </c>
      <c r="I514" s="11">
        <f>+SQRT(B514^2+F514^2)</f>
        <v>106500.90671640847</v>
      </c>
      <c r="J514" s="9" t="s">
        <v>704</v>
      </c>
      <c r="M514" s="12"/>
      <c r="N514" s="12"/>
    </row>
    <row r="515" spans="1:14" ht="15.75" customHeight="1">
      <c r="A515"/>
      <c r="B515"/>
      <c r="C515"/>
      <c r="D515"/>
      <c r="E515"/>
      <c r="F515"/>
      <c r="M515" s="12"/>
      <c r="N515" s="12"/>
    </row>
    <row r="516" spans="1:14" ht="15.75" customHeight="1">
      <c r="A516"/>
      <c r="B516"/>
      <c r="C516"/>
      <c r="D516"/>
      <c r="E516"/>
      <c r="F516"/>
      <c r="M516" s="12"/>
      <c r="N516" s="12"/>
    </row>
    <row r="517" spans="1:14" ht="15.75" customHeight="1">
      <c r="A517"/>
      <c r="B517"/>
      <c r="C517"/>
      <c r="D517"/>
      <c r="E517"/>
      <c r="F517"/>
      <c r="M517" s="12"/>
      <c r="N517" s="12"/>
    </row>
    <row r="518" spans="1:14" ht="6" customHeight="1">
      <c r="A518"/>
      <c r="B518"/>
      <c r="C518"/>
      <c r="D518"/>
      <c r="E518"/>
      <c r="F518"/>
      <c r="M518" s="12"/>
      <c r="N518" s="12"/>
    </row>
    <row r="519" spans="1:14" ht="6" customHeight="1">
      <c r="A519" s="94"/>
      <c r="B519" s="94"/>
      <c r="C519" s="94"/>
      <c r="D519" s="94"/>
      <c r="E519" s="94"/>
      <c r="F519" s="94"/>
      <c r="G519" s="87"/>
      <c r="H519" s="87"/>
      <c r="I519" s="87"/>
      <c r="J519" s="87"/>
      <c r="K519" s="87"/>
      <c r="L519" s="87"/>
      <c r="M519" s="87"/>
      <c r="N519" s="12"/>
    </row>
    <row r="520" spans="1:14" ht="6" customHeight="1">
      <c r="A520" s="76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5.75" customHeight="1">
      <c r="A521" s="85" t="s">
        <v>2034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6" customHeight="1">
      <c r="A522" s="5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5.75" customHeight="1">
      <c r="A523" s="5" t="s">
        <v>112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6" customHeight="1">
      <c r="A524" s="5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5.75" customHeight="1">
      <c r="A525" s="2" t="s">
        <v>698</v>
      </c>
      <c r="B525" s="1">
        <v>7354</v>
      </c>
      <c r="C525" s="4" t="s">
        <v>713</v>
      </c>
      <c r="D525" s="1" t="s">
        <v>2286</v>
      </c>
      <c r="E525" s="3">
        <v>1.2</v>
      </c>
      <c r="F525" s="22" t="s">
        <v>699</v>
      </c>
      <c r="G525" s="1" t="s">
        <v>2297</v>
      </c>
      <c r="H525" s="3">
        <v>1.8</v>
      </c>
      <c r="I525" s="22" t="s">
        <v>699</v>
      </c>
      <c r="J525" s="2" t="s">
        <v>705</v>
      </c>
      <c r="K525" s="1">
        <v>30</v>
      </c>
      <c r="L525" s="22" t="s">
        <v>706</v>
      </c>
      <c r="M525" s="12"/>
      <c r="N525" s="12"/>
    </row>
    <row r="526" spans="1:14" ht="15.75" customHeight="1">
      <c r="A526" s="2" t="s">
        <v>2277</v>
      </c>
      <c r="B526" s="1">
        <v>133362</v>
      </c>
      <c r="C526" s="4" t="s">
        <v>713</v>
      </c>
      <c r="D526" s="2" t="s">
        <v>702</v>
      </c>
      <c r="E526" s="3">
        <v>0.5</v>
      </c>
      <c r="F526" s="22" t="s">
        <v>699</v>
      </c>
      <c r="G526" s="1" t="s">
        <v>711</v>
      </c>
      <c r="H526" s="3">
        <v>5</v>
      </c>
      <c r="I526" s="22" t="s">
        <v>699</v>
      </c>
      <c r="M526" s="12"/>
      <c r="N526" s="12"/>
    </row>
    <row r="527" spans="1:14" ht="6" customHeight="1">
      <c r="A527" s="2"/>
      <c r="C527" s="4"/>
      <c r="D527" s="2"/>
      <c r="E527" s="3"/>
      <c r="F527" s="22"/>
      <c r="H527" s="3"/>
      <c r="I527" s="22"/>
      <c r="M527" s="12"/>
      <c r="N527" s="12"/>
    </row>
    <row r="528" spans="1:14" ht="15.75" customHeight="1">
      <c r="A528" s="5" t="s">
        <v>2033</v>
      </c>
      <c r="C528" s="4"/>
      <c r="D528" s="2"/>
      <c r="E528" s="3"/>
      <c r="F528" s="22"/>
      <c r="H528" s="3"/>
      <c r="I528" s="22"/>
      <c r="M528" s="12"/>
      <c r="N528" s="12"/>
    </row>
    <row r="529" spans="1:14" ht="6" customHeight="1">
      <c r="A529" s="2"/>
      <c r="C529" s="4"/>
      <c r="D529" s="2"/>
      <c r="E529" s="3"/>
      <c r="F529" s="22"/>
      <c r="H529" s="3"/>
      <c r="I529" s="22"/>
      <c r="M529" s="12"/>
      <c r="N529" s="12"/>
    </row>
    <row r="530" spans="1:14" ht="15.75" customHeight="1">
      <c r="A530" s="5" t="s">
        <v>113</v>
      </c>
      <c r="C530" s="4"/>
      <c r="D530" s="2"/>
      <c r="E530" s="3"/>
      <c r="F530" s="22"/>
      <c r="H530" s="3"/>
      <c r="I530" s="22"/>
      <c r="M530" s="12"/>
      <c r="N530" s="12"/>
    </row>
    <row r="531" spans="1:14" ht="6" customHeight="1">
      <c r="A531" s="2"/>
      <c r="C531" s="4"/>
      <c r="E531" s="3"/>
      <c r="F531" s="22"/>
      <c r="M531" s="12"/>
      <c r="N531" s="12"/>
    </row>
    <row r="532" spans="1:14" ht="15.75" customHeight="1">
      <c r="A532" s="1" t="s">
        <v>2278</v>
      </c>
      <c r="B532" s="6">
        <f>-B526*E526</f>
        <v>-66681</v>
      </c>
      <c r="C532" s="69" t="s">
        <v>700</v>
      </c>
      <c r="D532" s="1" t="s">
        <v>2280</v>
      </c>
      <c r="E532" s="3">
        <f>+B532/B525</f>
        <v>-9.067310307315747</v>
      </c>
      <c r="F532" s="66" t="s">
        <v>699</v>
      </c>
      <c r="K532" s="3"/>
      <c r="L532" s="4"/>
      <c r="M532" s="12"/>
      <c r="N532" s="12"/>
    </row>
    <row r="533" spans="1:14" ht="6" customHeight="1">
      <c r="A533" s="66"/>
      <c r="B533" s="68"/>
      <c r="C533" s="116"/>
      <c r="D533" s="117"/>
      <c r="E533" s="118"/>
      <c r="F533" s="117"/>
      <c r="G533" s="69"/>
      <c r="H533" s="68"/>
      <c r="I533" s="68"/>
      <c r="J533" s="68"/>
      <c r="K533" s="68"/>
      <c r="L533" s="68"/>
      <c r="M533" s="12"/>
      <c r="N533" s="12"/>
    </row>
    <row r="534" spans="1:14" ht="15.75" customHeight="1">
      <c r="A534" s="66"/>
      <c r="B534" s="5" t="s">
        <v>1779</v>
      </c>
      <c r="C534" s="5"/>
      <c r="E534" s="104" t="s">
        <v>1784</v>
      </c>
      <c r="G534" s="69"/>
      <c r="H534" s="68"/>
      <c r="I534" s="68"/>
      <c r="J534" s="68"/>
      <c r="K534" s="68"/>
      <c r="L534" s="68"/>
      <c r="M534" s="12"/>
      <c r="N534" s="12"/>
    </row>
    <row r="535" spans="1:14" ht="6" customHeight="1">
      <c r="A535" s="66"/>
      <c r="B535" s="68"/>
      <c r="C535" s="116"/>
      <c r="D535" s="117"/>
      <c r="E535" s="118"/>
      <c r="F535" s="117"/>
      <c r="G535" s="69"/>
      <c r="H535" s="68"/>
      <c r="I535" s="68"/>
      <c r="J535" s="68"/>
      <c r="K535" s="68"/>
      <c r="L535" s="68"/>
      <c r="M535" s="12"/>
      <c r="N535" s="12"/>
    </row>
    <row r="536" spans="1:14" ht="15.75" customHeight="1">
      <c r="A536" s="1" t="s">
        <v>1765</v>
      </c>
      <c r="B536" s="3">
        <f>-(ABS(E532)+E525+H526*SIN(RADIANS(K525)))</f>
        <v>-12.767310307315746</v>
      </c>
      <c r="C536" s="4" t="s">
        <v>699</v>
      </c>
      <c r="D536" s="1" t="s">
        <v>1766</v>
      </c>
      <c r="E536" s="6">
        <f>+B525*B536</f>
        <v>-93890.8</v>
      </c>
      <c r="F536" s="4" t="s">
        <v>700</v>
      </c>
      <c r="G536" s="1" t="s">
        <v>2517</v>
      </c>
      <c r="H536" s="3">
        <f>+PI()*(H525^2)/4</f>
        <v>2.5446900494077327</v>
      </c>
      <c r="I536" s="4" t="s">
        <v>108</v>
      </c>
      <c r="J536" s="2" t="s">
        <v>1780</v>
      </c>
      <c r="K536" s="6">
        <f>+E536*H536</f>
        <v>-238922.98449093156</v>
      </c>
      <c r="L536" s="22" t="s">
        <v>704</v>
      </c>
      <c r="M536" s="12"/>
      <c r="N536" s="12"/>
    </row>
    <row r="537" spans="1:14" ht="6" customHeight="1">
      <c r="A537"/>
      <c r="B537"/>
      <c r="C537"/>
      <c r="D537"/>
      <c r="E537"/>
      <c r="F537"/>
      <c r="K537" s="6"/>
      <c r="L537" s="22"/>
      <c r="M537" s="12"/>
      <c r="N537" s="12"/>
    </row>
    <row r="538" spans="1:14" ht="15.75" customHeight="1">
      <c r="A538" s="1" t="s">
        <v>1781</v>
      </c>
      <c r="B538" s="3">
        <f>+(1/2)*(4/3)*PI()*(H525/2)^3</f>
        <v>1.5268140296446395</v>
      </c>
      <c r="C538" s="4" t="s">
        <v>109</v>
      </c>
      <c r="D538" s="1" t="s">
        <v>2303</v>
      </c>
      <c r="E538" s="6">
        <f>+B538*B525</f>
        <v>11228.19037400668</v>
      </c>
      <c r="F538" s="22" t="s">
        <v>704</v>
      </c>
      <c r="M538" s="12"/>
      <c r="N538" s="12"/>
    </row>
    <row r="539" spans="1:14" ht="6" customHeight="1">
      <c r="A539"/>
      <c r="B539"/>
      <c r="C539"/>
      <c r="D539"/>
      <c r="E539"/>
      <c r="F539"/>
      <c r="M539" s="12"/>
      <c r="N539" s="12"/>
    </row>
    <row r="540" spans="1:14" ht="15.75" customHeight="1">
      <c r="A540" s="10" t="s">
        <v>2538</v>
      </c>
      <c r="B540" s="11">
        <f>+K536*COS(RADIANS(K525))</f>
        <v>-206913.3741171422</v>
      </c>
      <c r="C540" s="9" t="s">
        <v>704</v>
      </c>
      <c r="D540" s="10"/>
      <c r="E540" s="10" t="s">
        <v>2539</v>
      </c>
      <c r="F540" s="11">
        <f>+E538-ABS(K536)*SIN(RADIANS(K525))</f>
        <v>-108233.30187145909</v>
      </c>
      <c r="G540" s="9" t="s">
        <v>704</v>
      </c>
      <c r="H540" s="10" t="s">
        <v>2299</v>
      </c>
      <c r="I540" s="11">
        <f>+SQRT(B540^2+F540^2)</f>
        <v>233511.43874024425</v>
      </c>
      <c r="J540" s="9" t="s">
        <v>704</v>
      </c>
      <c r="M540" s="12"/>
      <c r="N540" s="12"/>
    </row>
    <row r="541" spans="1:14" ht="6" customHeight="1">
      <c r="A541"/>
      <c r="B541"/>
      <c r="C541"/>
      <c r="D541"/>
      <c r="E541"/>
      <c r="F541"/>
      <c r="M541" s="12"/>
      <c r="N541" s="12"/>
    </row>
    <row r="542" spans="1:14" ht="15.75" customHeight="1">
      <c r="A542" s="10" t="s">
        <v>1785</v>
      </c>
      <c r="B542" s="11">
        <f>-ABS(K536)+E538*SIN(RADIANS(K525))</f>
        <v>-233308.8893039282</v>
      </c>
      <c r="C542" s="9" t="s">
        <v>704</v>
      </c>
      <c r="D542" s="10"/>
      <c r="E542" s="10" t="s">
        <v>1786</v>
      </c>
      <c r="F542" s="11">
        <f>+E538*COS(RADIANS(K525))</f>
        <v>9723.898102417683</v>
      </c>
      <c r="G542" s="9" t="s">
        <v>704</v>
      </c>
      <c r="H542" s="10" t="s">
        <v>2299</v>
      </c>
      <c r="I542" s="11">
        <f>+SQRT(B542^2+F542^2)</f>
        <v>233511.43874024422</v>
      </c>
      <c r="J542" s="9" t="s">
        <v>704</v>
      </c>
      <c r="M542" s="12"/>
      <c r="N542" s="12"/>
    </row>
    <row r="543" spans="1:14" ht="6" customHeight="1">
      <c r="A543"/>
      <c r="B543"/>
      <c r="C543"/>
      <c r="D543"/>
      <c r="E543"/>
      <c r="F543"/>
      <c r="M543" s="12"/>
      <c r="N543" s="12"/>
    </row>
    <row r="544" spans="1:14" ht="15.75" customHeight="1">
      <c r="A544"/>
      <c r="B544"/>
      <c r="C544"/>
      <c r="D544"/>
      <c r="E544"/>
      <c r="F544"/>
      <c r="M544" s="12"/>
      <c r="N544" s="12"/>
    </row>
    <row r="545" spans="1:14" ht="15.75" customHeight="1">
      <c r="A545"/>
      <c r="B545"/>
      <c r="C545"/>
      <c r="D545"/>
      <c r="E545"/>
      <c r="F545"/>
      <c r="M545" s="12"/>
      <c r="N545" s="12"/>
    </row>
    <row r="546" spans="1:14" ht="6" customHeight="1">
      <c r="A546" s="76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6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12"/>
    </row>
    <row r="548" spans="1:14" ht="6" customHeight="1">
      <c r="A548" s="16"/>
      <c r="B548" s="12"/>
      <c r="C548" s="14"/>
      <c r="D548" s="12"/>
      <c r="E548" s="15"/>
      <c r="F548" s="14"/>
      <c r="G548" s="12"/>
      <c r="H548" s="15"/>
      <c r="I548" s="14"/>
      <c r="J548" s="12"/>
      <c r="K548" s="12"/>
      <c r="L548" s="12"/>
      <c r="M548" s="12"/>
      <c r="N548" s="12"/>
    </row>
    <row r="549" spans="1:14" ht="15.75" customHeight="1">
      <c r="A549" s="85" t="s">
        <v>2045</v>
      </c>
      <c r="B549" s="12"/>
      <c r="C549" s="14"/>
      <c r="D549" s="12"/>
      <c r="E549" s="15"/>
      <c r="F549" s="14"/>
      <c r="G549" s="12"/>
      <c r="H549" s="15"/>
      <c r="I549" s="14"/>
      <c r="J549" s="12"/>
      <c r="K549" s="12"/>
      <c r="L549" s="12"/>
      <c r="M549" s="12"/>
      <c r="N549" s="12"/>
    </row>
    <row r="550" spans="1:14" ht="6" customHeight="1">
      <c r="A550" s="5"/>
      <c r="B550" s="15"/>
      <c r="C550" s="14"/>
      <c r="D550" s="12"/>
      <c r="E550" s="15"/>
      <c r="F550" s="14"/>
      <c r="G550" s="12"/>
      <c r="H550" s="12"/>
      <c r="I550" s="12"/>
      <c r="J550" s="12"/>
      <c r="K550" s="12"/>
      <c r="L550" s="12"/>
      <c r="M550" s="12"/>
      <c r="N550" s="12"/>
    </row>
    <row r="551" spans="1:14" ht="15.75" customHeight="1">
      <c r="A551" s="5" t="s">
        <v>112</v>
      </c>
      <c r="B551" s="12"/>
      <c r="C551" s="12"/>
      <c r="D551" s="12"/>
      <c r="E551" s="15"/>
      <c r="F551" s="14"/>
      <c r="G551" s="12"/>
      <c r="H551" s="12"/>
      <c r="I551" s="12"/>
      <c r="J551" s="12"/>
      <c r="K551" s="12"/>
      <c r="L551" s="12"/>
      <c r="M551" s="12"/>
      <c r="N551" s="12"/>
    </row>
    <row r="552" spans="1:14" ht="6" customHeight="1">
      <c r="A552" s="12"/>
      <c r="B552" s="15"/>
      <c r="C552" s="14"/>
      <c r="D552" s="12"/>
      <c r="E552" s="15"/>
      <c r="F552" s="14"/>
      <c r="G552" s="12"/>
      <c r="H552" s="12"/>
      <c r="I552" s="12"/>
      <c r="J552" s="12"/>
      <c r="K552" s="12"/>
      <c r="L552" s="12"/>
      <c r="M552" s="12"/>
      <c r="N552" s="12"/>
    </row>
    <row r="553" spans="1:14" ht="15.75" customHeight="1">
      <c r="A553" s="2" t="s">
        <v>2281</v>
      </c>
      <c r="B553" s="1">
        <v>8000</v>
      </c>
      <c r="C553" s="4" t="s">
        <v>713</v>
      </c>
      <c r="D553" s="2" t="s">
        <v>2277</v>
      </c>
      <c r="E553" s="1">
        <v>133362</v>
      </c>
      <c r="F553" s="4" t="s">
        <v>713</v>
      </c>
      <c r="G553" s="1" t="s">
        <v>2295</v>
      </c>
      <c r="H553" s="3">
        <v>1.5</v>
      </c>
      <c r="I553" s="22" t="s">
        <v>699</v>
      </c>
      <c r="M553" s="12"/>
      <c r="N553" s="12"/>
    </row>
    <row r="554" spans="1:14" ht="15.75" customHeight="1">
      <c r="A554" s="2" t="s">
        <v>2282</v>
      </c>
      <c r="B554" s="1">
        <v>9806</v>
      </c>
      <c r="C554" s="4" t="s">
        <v>713</v>
      </c>
      <c r="D554" s="2" t="s">
        <v>702</v>
      </c>
      <c r="E554" s="3">
        <v>0.25</v>
      </c>
      <c r="F554" s="4"/>
      <c r="G554" s="1" t="s">
        <v>2297</v>
      </c>
      <c r="H554" s="3">
        <v>1</v>
      </c>
      <c r="I554" s="22" t="s">
        <v>699</v>
      </c>
      <c r="M554" s="12"/>
      <c r="N554" s="12"/>
    </row>
    <row r="555" spans="1:14" ht="6" customHeight="1">
      <c r="A555" s="2"/>
      <c r="C555" s="4"/>
      <c r="D555" s="2"/>
      <c r="E555" s="3"/>
      <c r="F555" s="4"/>
      <c r="H555" s="3"/>
      <c r="I555" s="22"/>
      <c r="M555" s="12"/>
      <c r="N555" s="12"/>
    </row>
    <row r="556" spans="1:14" ht="15.75" customHeight="1">
      <c r="A556" s="5" t="s">
        <v>2044</v>
      </c>
      <c r="C556" s="4"/>
      <c r="D556" s="2"/>
      <c r="E556" s="3"/>
      <c r="F556" s="4"/>
      <c r="H556" s="3"/>
      <c r="I556" s="22"/>
      <c r="M556" s="12"/>
      <c r="N556" s="12"/>
    </row>
    <row r="557" spans="1:14" ht="6" customHeight="1">
      <c r="A557" s="2"/>
      <c r="C557" s="4"/>
      <c r="D557" s="2"/>
      <c r="E557" s="3"/>
      <c r="F557" s="4"/>
      <c r="H557" s="3"/>
      <c r="I557" s="22"/>
      <c r="M557" s="12"/>
      <c r="N557" s="12"/>
    </row>
    <row r="558" spans="1:14" ht="15.75" customHeight="1">
      <c r="A558" s="5" t="s">
        <v>113</v>
      </c>
      <c r="C558" s="4"/>
      <c r="D558" s="2"/>
      <c r="E558" s="3"/>
      <c r="F558" s="4"/>
      <c r="H558" s="3"/>
      <c r="I558" s="22"/>
      <c r="M558" s="12"/>
      <c r="N558" s="12"/>
    </row>
    <row r="559" spans="3:14" ht="6" customHeight="1">
      <c r="C559" s="4"/>
      <c r="M559" s="12"/>
      <c r="N559" s="12"/>
    </row>
    <row r="560" spans="1:14" ht="15.75" customHeight="1">
      <c r="A560" s="21"/>
      <c r="B560" s="5" t="s">
        <v>2035</v>
      </c>
      <c r="C560" s="5"/>
      <c r="F560" s="104" t="s">
        <v>2036</v>
      </c>
      <c r="G560" s="5"/>
      <c r="M560" s="12"/>
      <c r="N560" s="12"/>
    </row>
    <row r="561" spans="3:14" ht="6" customHeight="1">
      <c r="C561" s="4"/>
      <c r="F561" s="4"/>
      <c r="M561" s="12"/>
      <c r="N561" s="12"/>
    </row>
    <row r="562" spans="1:14" ht="15.75" customHeight="1">
      <c r="A562" s="1" t="s">
        <v>2278</v>
      </c>
      <c r="B562" s="6">
        <f>+E553*E554</f>
        <v>33340.5</v>
      </c>
      <c r="C562" s="4" t="s">
        <v>700</v>
      </c>
      <c r="D562" s="1" t="s">
        <v>2037</v>
      </c>
      <c r="E562" s="3">
        <f>+B562/B553</f>
        <v>4.1675625</v>
      </c>
      <c r="F562" s="4" t="s">
        <v>699</v>
      </c>
      <c r="G562" s="3" t="s">
        <v>2038</v>
      </c>
      <c r="H562" s="3">
        <f>+E562+H553</f>
        <v>5.6675625</v>
      </c>
      <c r="I562" s="22" t="s">
        <v>699</v>
      </c>
      <c r="J562" s="1" t="s">
        <v>2039</v>
      </c>
      <c r="K562" s="3">
        <f>+H562*B553/B554</f>
        <v>4.623750764837855</v>
      </c>
      <c r="L562" s="4" t="s">
        <v>699</v>
      </c>
      <c r="M562" s="12"/>
      <c r="N562" s="12"/>
    </row>
    <row r="563" spans="2:14" ht="6" customHeight="1">
      <c r="B563" s="6"/>
      <c r="C563" s="4"/>
      <c r="E563" s="6"/>
      <c r="F563" s="4"/>
      <c r="H563" s="3"/>
      <c r="I563" s="4"/>
      <c r="K563" s="6"/>
      <c r="L563" s="22"/>
      <c r="M563" s="12"/>
      <c r="N563" s="12"/>
    </row>
    <row r="564" spans="1:14" ht="15.75" customHeight="1">
      <c r="A564" s="1" t="s">
        <v>1765</v>
      </c>
      <c r="B564" s="3">
        <f>+H562-(2/3)*H554/PI()</f>
        <v>5.455355909210806</v>
      </c>
      <c r="C564" s="4" t="s">
        <v>699</v>
      </c>
      <c r="D564" s="1" t="s">
        <v>2040</v>
      </c>
      <c r="E564" s="6">
        <f>+B553*B564</f>
        <v>43642.84727368645</v>
      </c>
      <c r="F564" s="4" t="s">
        <v>700</v>
      </c>
      <c r="G564" s="1" t="s">
        <v>2517</v>
      </c>
      <c r="H564" s="3">
        <f>+(1/2)*PI()*(H554^2)/4</f>
        <v>0.39269908169872414</v>
      </c>
      <c r="I564" s="4" t="s">
        <v>108</v>
      </c>
      <c r="J564" s="2" t="s">
        <v>1780</v>
      </c>
      <c r="K564" s="6">
        <f>+E564*H564</f>
        <v>17138.506047094335</v>
      </c>
      <c r="L564" s="22" t="s">
        <v>704</v>
      </c>
      <c r="M564" s="12"/>
      <c r="N564" s="12"/>
    </row>
    <row r="565" spans="2:14" ht="6" customHeight="1">
      <c r="B565" s="3"/>
      <c r="C565" s="4"/>
      <c r="D565" s="4"/>
      <c r="F565" s="4"/>
      <c r="H565" s="3"/>
      <c r="I565" s="4"/>
      <c r="K565" s="6"/>
      <c r="L565" s="22"/>
      <c r="M565" s="12"/>
      <c r="N565" s="12"/>
    </row>
    <row r="566" spans="1:14" ht="15.75" customHeight="1">
      <c r="A566" s="1" t="s">
        <v>1767</v>
      </c>
      <c r="B566" s="3">
        <f>+(1/4)*(4/3)*PI()*(H554/2)^3</f>
        <v>0.1308996938995747</v>
      </c>
      <c r="C566" s="4" t="s">
        <v>109</v>
      </c>
      <c r="D566" s="1" t="s">
        <v>1768</v>
      </c>
      <c r="E566" s="6">
        <f>+B566*B553</f>
        <v>1047.1975511965977</v>
      </c>
      <c r="F566" s="22" t="s">
        <v>704</v>
      </c>
      <c r="I566" s="6"/>
      <c r="M566" s="12"/>
      <c r="N566" s="12"/>
    </row>
    <row r="567" spans="9:14" ht="6" customHeight="1">
      <c r="I567" s="6"/>
      <c r="M567" s="12"/>
      <c r="N567" s="12"/>
    </row>
    <row r="568" spans="1:14" ht="15.75" customHeight="1">
      <c r="A568" s="1" t="s">
        <v>1770</v>
      </c>
      <c r="B568" s="3">
        <f>+K562+(2/3)*H554/PI()</f>
        <v>4.835957355627048</v>
      </c>
      <c r="C568" s="4" t="s">
        <v>699</v>
      </c>
      <c r="D568" s="1" t="s">
        <v>1771</v>
      </c>
      <c r="E568" s="6">
        <f>+B554*B568</f>
        <v>47421.39782927884</v>
      </c>
      <c r="F568" s="4" t="s">
        <v>700</v>
      </c>
      <c r="G568" s="1" t="s">
        <v>2518</v>
      </c>
      <c r="H568" s="3">
        <f>+(1/2)*PI()*(H554^2)/4</f>
        <v>0.39269908169872414</v>
      </c>
      <c r="I568" s="4" t="s">
        <v>108</v>
      </c>
      <c r="J568" s="2" t="s">
        <v>2041</v>
      </c>
      <c r="K568" s="6">
        <f>+E568*H568</f>
        <v>18622.33938042767</v>
      </c>
      <c r="L568" s="22" t="s">
        <v>704</v>
      </c>
      <c r="M568" s="12"/>
      <c r="N568" s="12"/>
    </row>
    <row r="569" spans="2:14" ht="6" customHeight="1">
      <c r="B569" s="3"/>
      <c r="C569" s="4"/>
      <c r="D569" s="4"/>
      <c r="F569" s="4"/>
      <c r="H569" s="3"/>
      <c r="I569" s="4"/>
      <c r="K569" s="6"/>
      <c r="L569" s="22"/>
      <c r="M569" s="12"/>
      <c r="N569" s="12"/>
    </row>
    <row r="570" spans="1:14" ht="15.75" customHeight="1">
      <c r="A570" s="1" t="s">
        <v>1772</v>
      </c>
      <c r="B570" s="3">
        <f>+(1/4)*(4/3)*PI()*(H554/2)^3</f>
        <v>0.1308996938995747</v>
      </c>
      <c r="C570" s="4" t="s">
        <v>109</v>
      </c>
      <c r="D570" s="1" t="s">
        <v>1773</v>
      </c>
      <c r="E570" s="6">
        <f>+B570*B554</f>
        <v>1283.6023983792295</v>
      </c>
      <c r="F570" s="22" t="s">
        <v>704</v>
      </c>
      <c r="H570" s="6"/>
      <c r="I570" s="6"/>
      <c r="M570" s="12"/>
      <c r="N570" s="12"/>
    </row>
    <row r="571" spans="1:14" ht="6" customHeight="1">
      <c r="A571" s="21"/>
      <c r="D571" s="12"/>
      <c r="E571" s="12"/>
      <c r="F571" s="12"/>
      <c r="G571" s="5"/>
      <c r="J571" s="104"/>
      <c r="L571" s="12"/>
      <c r="M571" s="12"/>
      <c r="N571" s="12"/>
    </row>
    <row r="572" spans="1:14" ht="15.75" customHeight="1">
      <c r="A572" s="10" t="s">
        <v>2042</v>
      </c>
      <c r="B572" s="11">
        <f>+K564+K568</f>
        <v>35760.84542752201</v>
      </c>
      <c r="C572" s="9" t="s">
        <v>704</v>
      </c>
      <c r="D572" s="12"/>
      <c r="E572" s="10" t="s">
        <v>2043</v>
      </c>
      <c r="F572" s="11">
        <f>+E570+E566</f>
        <v>2330.799949575827</v>
      </c>
      <c r="G572" s="9" t="s">
        <v>704</v>
      </c>
      <c r="I572" s="10" t="s">
        <v>2043</v>
      </c>
      <c r="J572" s="11">
        <f>+SQRT(B572^2+F572^2)</f>
        <v>35836.722703060674</v>
      </c>
      <c r="K572" s="9" t="s">
        <v>704</v>
      </c>
      <c r="L572" s="12"/>
      <c r="M572" s="12"/>
      <c r="N572" s="12"/>
    </row>
    <row r="573" spans="1:14" ht="6" customHeight="1">
      <c r="A573" s="12"/>
      <c r="B573" s="12"/>
      <c r="C573" s="12"/>
      <c r="D573" s="12"/>
      <c r="E573" s="15"/>
      <c r="F573" s="14"/>
      <c r="G573" s="12"/>
      <c r="H573" s="12"/>
      <c r="I573" s="12"/>
      <c r="J573" s="12"/>
      <c r="K573" s="12"/>
      <c r="L573" s="12"/>
      <c r="M573" s="12"/>
      <c r="N573" s="12"/>
    </row>
    <row r="574" spans="1:13" s="12" customFormat="1" ht="6" customHeight="1">
      <c r="A574" s="87"/>
      <c r="B574" s="91"/>
      <c r="C574" s="119"/>
      <c r="D574" s="87"/>
      <c r="E574" s="90"/>
      <c r="F574" s="87"/>
      <c r="G574" s="91"/>
      <c r="H574" s="119"/>
      <c r="I574" s="87"/>
      <c r="J574" s="87"/>
      <c r="K574" s="87"/>
      <c r="L574" s="87"/>
      <c r="M574" s="87"/>
    </row>
    <row r="575" spans="5:6" s="12" customFormat="1" ht="6" customHeight="1">
      <c r="E575" s="15"/>
      <c r="F575" s="14"/>
    </row>
    <row r="576" spans="2:14" ht="15.75" customHeight="1">
      <c r="B576" s="13"/>
      <c r="C576" s="14"/>
      <c r="D576" s="12"/>
      <c r="E576" s="15"/>
      <c r="F576" s="14"/>
      <c r="G576" s="12"/>
      <c r="H576" s="12"/>
      <c r="I576" s="12"/>
      <c r="J576" s="12"/>
      <c r="K576" s="12"/>
      <c r="L576" s="12"/>
      <c r="M576" s="12"/>
      <c r="N576" s="12"/>
    </row>
    <row r="577" spans="2:6" s="12" customFormat="1" ht="15.75" customHeight="1">
      <c r="B577" s="13"/>
      <c r="E577" s="15"/>
      <c r="F577" s="14"/>
    </row>
    <row r="578" spans="3:6" s="12" customFormat="1" ht="15.75" customHeight="1">
      <c r="C578" s="14"/>
      <c r="F578" s="14"/>
    </row>
    <row r="579" s="12" customFormat="1" ht="15.75" customHeight="1">
      <c r="A579" s="76"/>
    </row>
    <row r="580" s="12" customFormat="1" ht="15.75" customHeight="1"/>
    <row r="581" spans="1:9" s="12" customFormat="1" ht="15.75" customHeight="1">
      <c r="A581" s="16"/>
      <c r="C581" s="14"/>
      <c r="E581" s="15"/>
      <c r="F581" s="14"/>
      <c r="H581" s="15"/>
      <c r="I581" s="14"/>
    </row>
    <row r="582" spans="1:9" s="12" customFormat="1" ht="15.75" customHeight="1">
      <c r="A582" s="16"/>
      <c r="C582" s="14"/>
      <c r="E582" s="15"/>
      <c r="F582" s="14"/>
      <c r="H582" s="15"/>
      <c r="I582" s="14"/>
    </row>
    <row r="583" spans="1:6" s="12" customFormat="1" ht="15.75" customHeight="1">
      <c r="A583" s="16"/>
      <c r="B583" s="15"/>
      <c r="C583" s="14"/>
      <c r="E583" s="15"/>
      <c r="F583" s="14"/>
    </row>
    <row r="584" spans="5:6" s="12" customFormat="1" ht="15.75" customHeight="1">
      <c r="E584" s="15"/>
      <c r="F584" s="14"/>
    </row>
    <row r="585" spans="2:6" s="12" customFormat="1" ht="15.75" customHeight="1">
      <c r="B585" s="15"/>
      <c r="C585" s="14"/>
      <c r="E585" s="15"/>
      <c r="F585" s="14"/>
    </row>
    <row r="586" spans="3:6" s="12" customFormat="1" ht="15.75" customHeight="1">
      <c r="C586" s="14"/>
      <c r="F586" s="14"/>
    </row>
    <row r="587" spans="1:6" s="12" customFormat="1" ht="15.75" customHeight="1">
      <c r="A587" s="29"/>
      <c r="C587" s="76"/>
      <c r="F587" s="76"/>
    </row>
    <row r="588" spans="3:6" s="12" customFormat="1" ht="15.75" customHeight="1">
      <c r="C588" s="14"/>
      <c r="F588" s="14"/>
    </row>
    <row r="589" spans="2:12" s="12" customFormat="1" ht="15.75" customHeight="1">
      <c r="B589" s="15"/>
      <c r="C589" s="14"/>
      <c r="E589" s="13"/>
      <c r="F589" s="14"/>
      <c r="H589" s="15"/>
      <c r="I589" s="14"/>
      <c r="J589" s="16"/>
      <c r="K589" s="13"/>
      <c r="L589" s="25"/>
    </row>
    <row r="590" spans="5:6" s="12" customFormat="1" ht="15.75" customHeight="1">
      <c r="E590" s="15"/>
      <c r="F590" s="14"/>
    </row>
    <row r="591" spans="5:12" s="12" customFormat="1" ht="15.75" customHeight="1">
      <c r="E591" s="15"/>
      <c r="F591" s="14"/>
      <c r="H591" s="15"/>
      <c r="I591" s="14"/>
      <c r="L591" s="25"/>
    </row>
    <row r="592" spans="5:6" s="12" customFormat="1" ht="15.75" customHeight="1">
      <c r="E592" s="15"/>
      <c r="F592" s="14"/>
    </row>
    <row r="593" spans="2:8" s="12" customFormat="1" ht="15.75" customHeight="1">
      <c r="B593" s="13"/>
      <c r="C593" s="25"/>
      <c r="E593" s="15"/>
      <c r="G593" s="13"/>
      <c r="H593" s="25"/>
    </row>
    <row r="594" spans="5:6" s="12" customFormat="1" ht="15.75" customHeight="1">
      <c r="E594" s="15"/>
      <c r="F594" s="14"/>
    </row>
    <row r="595" spans="2:6" s="12" customFormat="1" ht="15.75" customHeight="1">
      <c r="B595" s="13"/>
      <c r="C595" s="14"/>
      <c r="E595" s="15"/>
      <c r="F595" s="14"/>
    </row>
    <row r="596" spans="5:6" s="12" customFormat="1" ht="15.75" customHeight="1">
      <c r="E596" s="15"/>
      <c r="F596" s="14"/>
    </row>
    <row r="597" spans="1:6" s="12" customFormat="1" ht="15.75" customHeight="1">
      <c r="A597" s="29"/>
      <c r="C597" s="76"/>
      <c r="F597" s="76"/>
    </row>
    <row r="598" spans="3:6" s="12" customFormat="1" ht="15.75" customHeight="1">
      <c r="C598" s="14"/>
      <c r="F598" s="14"/>
    </row>
    <row r="599" spans="2:12" s="12" customFormat="1" ht="15.75" customHeight="1">
      <c r="B599" s="15"/>
      <c r="C599" s="14"/>
      <c r="E599" s="13"/>
      <c r="F599" s="14"/>
      <c r="H599" s="15"/>
      <c r="I599" s="14"/>
      <c r="J599" s="16"/>
      <c r="K599" s="13"/>
      <c r="L599" s="25"/>
    </row>
    <row r="600" spans="5:6" s="12" customFormat="1" ht="15.75" customHeight="1">
      <c r="E600" s="15"/>
      <c r="F600" s="14"/>
    </row>
    <row r="601" spans="5:12" s="12" customFormat="1" ht="15.75" customHeight="1">
      <c r="E601" s="15"/>
      <c r="F601" s="14"/>
      <c r="H601" s="15"/>
      <c r="I601" s="14"/>
      <c r="L601" s="25"/>
    </row>
    <row r="602" spans="5:6" s="12" customFormat="1" ht="15.75" customHeight="1">
      <c r="E602" s="15"/>
      <c r="F602" s="14"/>
    </row>
    <row r="603" spans="2:8" s="12" customFormat="1" ht="15.75" customHeight="1">
      <c r="B603" s="13"/>
      <c r="C603" s="25"/>
      <c r="E603" s="15"/>
      <c r="G603" s="13"/>
      <c r="H603" s="25"/>
    </row>
    <row r="604" spans="5:6" s="12" customFormat="1" ht="15.75" customHeight="1">
      <c r="E604" s="15"/>
      <c r="F604" s="14"/>
    </row>
    <row r="605" spans="2:6" s="12" customFormat="1" ht="15.75" customHeight="1">
      <c r="B605" s="13"/>
      <c r="C605" s="14"/>
      <c r="E605" s="15"/>
      <c r="F605" s="14"/>
    </row>
    <row r="606" spans="3:6" s="12" customFormat="1" ht="15.75" customHeight="1">
      <c r="C606" s="14"/>
      <c r="F606" s="14"/>
    </row>
    <row r="607" spans="3:6" s="12" customFormat="1" ht="15.75" customHeight="1">
      <c r="C607" s="14"/>
      <c r="F607" s="14"/>
    </row>
    <row r="608" s="12" customFormat="1" ht="15.75" customHeight="1">
      <c r="A608" s="76"/>
    </row>
    <row r="609" s="12" customFormat="1" ht="15.75" customHeight="1"/>
    <row r="610" spans="1:12" s="12" customFormat="1" ht="15.75" customHeight="1">
      <c r="A610" s="16"/>
      <c r="C610" s="14"/>
      <c r="E610" s="15"/>
      <c r="F610" s="14"/>
      <c r="H610" s="15"/>
      <c r="I610" s="14"/>
      <c r="K610" s="15"/>
      <c r="L610" s="14"/>
    </row>
    <row r="611" spans="1:9" s="12" customFormat="1" ht="15.75" customHeight="1">
      <c r="A611" s="16"/>
      <c r="C611" s="14"/>
      <c r="E611" s="15"/>
      <c r="F611" s="14"/>
      <c r="H611" s="15"/>
      <c r="I611" s="14"/>
    </row>
    <row r="612" spans="1:9" s="12" customFormat="1" ht="15.75" customHeight="1">
      <c r="A612" s="16"/>
      <c r="B612" s="13"/>
      <c r="C612" s="14"/>
      <c r="E612" s="15"/>
      <c r="F612" s="14"/>
      <c r="G612" s="77"/>
      <c r="H612" s="113"/>
      <c r="I612" s="114"/>
    </row>
    <row r="613" spans="5:6" s="12" customFormat="1" ht="15.75" customHeight="1">
      <c r="E613" s="15"/>
      <c r="F613" s="14"/>
    </row>
    <row r="614" spans="1:6" s="12" customFormat="1" ht="15.75" customHeight="1">
      <c r="A614" s="84"/>
      <c r="C614" s="76"/>
      <c r="F614" s="76"/>
    </row>
    <row r="615" spans="3:6" s="12" customFormat="1" ht="15.75" customHeight="1">
      <c r="C615" s="14"/>
      <c r="F615" s="14"/>
    </row>
    <row r="616" spans="1:12" s="12" customFormat="1" ht="15.75" customHeight="1">
      <c r="A616" s="14"/>
      <c r="B616" s="13"/>
      <c r="C616" s="25"/>
      <c r="E616" s="13"/>
      <c r="F616" s="25"/>
      <c r="J616" s="16"/>
      <c r="K616" s="13"/>
      <c r="L616" s="25"/>
    </row>
    <row r="617" spans="5:6" s="12" customFormat="1" ht="15.75" customHeight="1">
      <c r="E617" s="15"/>
      <c r="F617" s="14"/>
    </row>
    <row r="618" spans="1:10" s="12" customFormat="1" ht="15.75" customHeight="1">
      <c r="A618" s="84"/>
      <c r="G618" s="76"/>
      <c r="J618" s="76"/>
    </row>
    <row r="619" spans="5:6" s="12" customFormat="1" ht="15.75" customHeight="1">
      <c r="E619" s="15"/>
      <c r="F619" s="14"/>
    </row>
    <row r="620" spans="2:6" s="12" customFormat="1" ht="15.75" customHeight="1">
      <c r="B620" s="15"/>
      <c r="C620" s="14"/>
      <c r="E620" s="13"/>
      <c r="F620" s="25"/>
    </row>
    <row r="621" spans="3:6" s="12" customFormat="1" ht="15.75" customHeight="1">
      <c r="C621" s="14"/>
      <c r="F621" s="14"/>
    </row>
    <row r="622" spans="1:12" s="12" customFormat="1" ht="15.75" customHeight="1">
      <c r="A622" s="16"/>
      <c r="B622" s="13"/>
      <c r="C622" s="25"/>
      <c r="E622" s="15"/>
      <c r="F622" s="14"/>
      <c r="H622" s="15"/>
      <c r="I622" s="14"/>
      <c r="J622" s="16"/>
      <c r="K622" s="13"/>
      <c r="L622" s="25"/>
    </row>
    <row r="623" spans="5:6" s="12" customFormat="1" ht="15.75" customHeight="1">
      <c r="E623" s="15"/>
      <c r="F623" s="14"/>
    </row>
    <row r="624" spans="3:12" s="12" customFormat="1" ht="15.75" customHeight="1">
      <c r="C624" s="14"/>
      <c r="F624" s="14"/>
      <c r="G624" s="16"/>
      <c r="H624" s="15"/>
      <c r="I624" s="14"/>
      <c r="L624" s="25"/>
    </row>
    <row r="625" spans="5:6" s="12" customFormat="1" ht="15.75" customHeight="1">
      <c r="E625" s="15"/>
      <c r="F625" s="14"/>
    </row>
    <row r="626" spans="3:6" s="12" customFormat="1" ht="15.75" customHeight="1">
      <c r="C626" s="14"/>
      <c r="F626" s="14"/>
    </row>
    <row r="627" spans="1:14" ht="15.75" customHeight="1">
      <c r="A627" s="76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5.75" customHeight="1">
      <c r="A629" s="16"/>
      <c r="B629" s="12"/>
      <c r="C629" s="14"/>
      <c r="D629" s="12"/>
      <c r="E629" s="15"/>
      <c r="F629" s="14"/>
      <c r="G629" s="12"/>
      <c r="H629" s="15"/>
      <c r="I629" s="14"/>
      <c r="J629" s="12"/>
      <c r="K629" s="15"/>
      <c r="L629" s="14"/>
      <c r="M629" s="12"/>
      <c r="N629" s="12"/>
    </row>
    <row r="630" spans="1:14" ht="15.75" customHeight="1">
      <c r="A630" s="16"/>
      <c r="B630" s="12"/>
      <c r="C630" s="14"/>
      <c r="D630" s="12"/>
      <c r="E630" s="15"/>
      <c r="F630" s="14"/>
      <c r="G630" s="12"/>
      <c r="H630" s="15"/>
      <c r="I630" s="14"/>
      <c r="J630" s="12"/>
      <c r="K630" s="12"/>
      <c r="L630" s="12"/>
      <c r="M630" s="12"/>
      <c r="N630" s="12"/>
    </row>
    <row r="631" spans="1:14" ht="15.75" customHeight="1">
      <c r="A631" s="16"/>
      <c r="B631" s="15"/>
      <c r="C631" s="14"/>
      <c r="D631" s="12"/>
      <c r="E631" s="15"/>
      <c r="F631" s="14"/>
      <c r="G631" s="16"/>
      <c r="H631" s="13"/>
      <c r="I631" s="14"/>
      <c r="J631" s="12"/>
      <c r="K631" s="12"/>
      <c r="L631" s="12"/>
      <c r="M631" s="12"/>
      <c r="N631" s="12"/>
    </row>
    <row r="632" spans="1:14" ht="15.75" customHeight="1">
      <c r="A632" s="12"/>
      <c r="B632" s="12"/>
      <c r="C632" s="12"/>
      <c r="D632" s="12"/>
      <c r="E632" s="15"/>
      <c r="F632" s="14"/>
      <c r="G632" s="12"/>
      <c r="H632" s="12"/>
      <c r="I632" s="12"/>
      <c r="J632" s="12"/>
      <c r="K632" s="12"/>
      <c r="L632" s="12"/>
      <c r="M632" s="12"/>
      <c r="N632" s="12"/>
    </row>
    <row r="633" spans="1:14" ht="15.75" customHeight="1">
      <c r="A633" s="12"/>
      <c r="B633" s="12"/>
      <c r="C633" s="14"/>
      <c r="D633" s="12"/>
      <c r="E633" s="12"/>
      <c r="F633" s="14"/>
      <c r="G633" s="12"/>
      <c r="H633" s="15"/>
      <c r="I633" s="14"/>
      <c r="J633" s="12"/>
      <c r="K633" s="12"/>
      <c r="L633" s="12"/>
      <c r="M633" s="12"/>
      <c r="N633" s="12"/>
    </row>
    <row r="634" spans="1:14" ht="15.75" customHeight="1">
      <c r="A634" s="12"/>
      <c r="B634" s="12"/>
      <c r="C634" s="12"/>
      <c r="D634" s="12"/>
      <c r="E634" s="15"/>
      <c r="F634" s="14"/>
      <c r="G634" s="12"/>
      <c r="H634" s="12"/>
      <c r="I634" s="12"/>
      <c r="J634" s="12"/>
      <c r="K634" s="12"/>
      <c r="L634" s="12"/>
      <c r="M634" s="12"/>
      <c r="N634" s="12"/>
    </row>
    <row r="635" spans="1:14" ht="15.75" customHeight="1">
      <c r="A635" s="84"/>
      <c r="B635" s="12"/>
      <c r="C635" s="12"/>
      <c r="D635" s="12"/>
      <c r="E635" s="12"/>
      <c r="F635" s="12"/>
      <c r="G635" s="76"/>
      <c r="H635" s="12"/>
      <c r="I635" s="12"/>
      <c r="J635" s="76"/>
      <c r="K635" s="12"/>
      <c r="L635" s="12"/>
      <c r="M635" s="12"/>
      <c r="N635" s="12"/>
    </row>
    <row r="636" spans="1:14" ht="15.75" customHeight="1">
      <c r="A636" s="12"/>
      <c r="B636" s="12"/>
      <c r="C636" s="12"/>
      <c r="D636" s="12"/>
      <c r="E636" s="15"/>
      <c r="F636" s="14"/>
      <c r="G636" s="12"/>
      <c r="H636" s="12"/>
      <c r="I636" s="12"/>
      <c r="J636" s="12"/>
      <c r="K636" s="12"/>
      <c r="L636" s="12"/>
      <c r="M636" s="12"/>
      <c r="N636" s="12"/>
    </row>
    <row r="637" spans="1:14" ht="15.75" customHeight="1">
      <c r="A637" s="12"/>
      <c r="B637" s="15"/>
      <c r="C637" s="14"/>
      <c r="D637" s="12"/>
      <c r="E637" s="12"/>
      <c r="F637" s="14"/>
      <c r="G637" s="12"/>
      <c r="H637" s="15"/>
      <c r="I637" s="14"/>
      <c r="J637" s="16"/>
      <c r="K637" s="13"/>
      <c r="L637" s="25"/>
      <c r="M637" s="12"/>
      <c r="N637" s="12"/>
    </row>
    <row r="638" spans="1:14" ht="15.75" customHeight="1">
      <c r="A638" s="12"/>
      <c r="B638" s="12"/>
      <c r="C638" s="12"/>
      <c r="D638" s="12"/>
      <c r="E638" s="15"/>
      <c r="F638" s="14"/>
      <c r="G638" s="12"/>
      <c r="H638" s="12"/>
      <c r="I638" s="12"/>
      <c r="J638" s="12"/>
      <c r="K638" s="12"/>
      <c r="L638" s="12"/>
      <c r="M638" s="12"/>
      <c r="N638" s="12"/>
    </row>
    <row r="639" spans="1:14" ht="15.75" customHeight="1">
      <c r="A639" s="12"/>
      <c r="B639" s="15"/>
      <c r="C639" s="14"/>
      <c r="D639" s="12"/>
      <c r="E639" s="13"/>
      <c r="F639" s="25"/>
      <c r="G639" s="12"/>
      <c r="H639" s="12"/>
      <c r="I639" s="12"/>
      <c r="J639" s="12"/>
      <c r="K639" s="13"/>
      <c r="L639" s="25"/>
      <c r="M639" s="12"/>
      <c r="N639" s="12"/>
    </row>
    <row r="640" spans="1:14" ht="15.75" customHeight="1">
      <c r="A640" s="12"/>
      <c r="B640" s="12"/>
      <c r="C640" s="14"/>
      <c r="D640" s="12"/>
      <c r="E640" s="12"/>
      <c r="F640" s="14"/>
      <c r="G640" s="12"/>
      <c r="H640" s="12"/>
      <c r="I640" s="12"/>
      <c r="J640" s="12"/>
      <c r="K640" s="12"/>
      <c r="L640" s="12"/>
      <c r="M640" s="12"/>
      <c r="N640" s="12"/>
    </row>
    <row r="641" spans="1:14" ht="15.75" customHeight="1">
      <c r="A641" s="84"/>
      <c r="B641" s="12"/>
      <c r="C641" s="76"/>
      <c r="D641" s="12"/>
      <c r="E641" s="12"/>
      <c r="F641" s="76"/>
      <c r="G641" s="12"/>
      <c r="H641" s="12"/>
      <c r="I641" s="12"/>
      <c r="J641" s="12"/>
      <c r="K641" s="12"/>
      <c r="L641" s="12"/>
      <c r="M641" s="12"/>
      <c r="N641" s="12"/>
    </row>
    <row r="642" spans="1:14" ht="15.75" customHeight="1">
      <c r="A642" s="12"/>
      <c r="B642" s="12"/>
      <c r="C642" s="14"/>
      <c r="D642" s="12"/>
      <c r="E642" s="12"/>
      <c r="F642" s="14"/>
      <c r="G642" s="12"/>
      <c r="H642" s="12"/>
      <c r="I642" s="12"/>
      <c r="J642" s="12"/>
      <c r="K642" s="12"/>
      <c r="L642" s="12"/>
      <c r="M642" s="12"/>
      <c r="N642" s="12"/>
    </row>
    <row r="643" spans="1:14" ht="15.75" customHeight="1">
      <c r="A643" s="14"/>
      <c r="B643" s="13"/>
      <c r="C643" s="25"/>
      <c r="D643" s="12"/>
      <c r="E643" s="15"/>
      <c r="F643" s="14"/>
      <c r="G643" s="16"/>
      <c r="H643" s="13"/>
      <c r="I643" s="14"/>
      <c r="J643" s="12"/>
      <c r="K643" s="12"/>
      <c r="L643" s="12"/>
      <c r="M643" s="12"/>
      <c r="N643" s="12"/>
    </row>
    <row r="644" spans="1:14" ht="15.75" customHeight="1">
      <c r="A644" s="12"/>
      <c r="B644" s="12"/>
      <c r="C644" s="14"/>
      <c r="D644" s="12"/>
      <c r="E644" s="12"/>
      <c r="F644" s="14"/>
      <c r="G644" s="12"/>
      <c r="H644" s="12"/>
      <c r="I644" s="12"/>
      <c r="J644" s="12"/>
      <c r="K644" s="12"/>
      <c r="L644" s="12"/>
      <c r="M644" s="12"/>
      <c r="N644" s="12"/>
    </row>
    <row r="645" spans="1:14" ht="15.75" customHeight="1">
      <c r="A645" s="12"/>
      <c r="B645" s="12"/>
      <c r="C645" s="14"/>
      <c r="D645" s="12"/>
      <c r="E645" s="12"/>
      <c r="F645" s="14"/>
      <c r="G645" s="12"/>
      <c r="H645" s="12"/>
      <c r="I645" s="12"/>
      <c r="J645" s="12"/>
      <c r="K645" s="12"/>
      <c r="L645" s="12"/>
      <c r="M645" s="12"/>
      <c r="N645" s="12"/>
    </row>
    <row r="646" spans="1:14" ht="15.75" customHeight="1">
      <c r="A646" s="76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</row>
    <row r="647" spans="1:14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</row>
    <row r="648" spans="1:14" ht="15.75" customHeight="1">
      <c r="A648" s="16"/>
      <c r="B648" s="12"/>
      <c r="C648" s="14"/>
      <c r="D648" s="12"/>
      <c r="E648" s="15"/>
      <c r="F648" s="14"/>
      <c r="G648" s="12"/>
      <c r="H648" s="15"/>
      <c r="I648" s="14"/>
      <c r="J648" s="12"/>
      <c r="K648" s="15"/>
      <c r="L648" s="14"/>
      <c r="M648" s="12"/>
      <c r="N648" s="12"/>
    </row>
    <row r="649" spans="1:14" ht="15.75" customHeight="1">
      <c r="A649" s="16"/>
      <c r="B649" s="12"/>
      <c r="C649" s="14"/>
      <c r="D649" s="12"/>
      <c r="E649" s="15"/>
      <c r="F649" s="14"/>
      <c r="G649" s="12"/>
      <c r="H649" s="15"/>
      <c r="I649" s="14"/>
      <c r="J649" s="12"/>
      <c r="K649" s="12"/>
      <c r="L649" s="12"/>
      <c r="M649" s="12"/>
      <c r="N649" s="12"/>
    </row>
    <row r="650" spans="1:14" ht="15.75" customHeight="1">
      <c r="A650" s="12"/>
      <c r="B650" s="12"/>
      <c r="C650" s="12"/>
      <c r="D650" s="12"/>
      <c r="E650" s="15"/>
      <c r="F650" s="14"/>
      <c r="G650" s="12"/>
      <c r="H650" s="12"/>
      <c r="I650" s="12"/>
      <c r="J650" s="12"/>
      <c r="K650" s="12"/>
      <c r="L650" s="12"/>
      <c r="M650" s="12"/>
      <c r="N650" s="12"/>
    </row>
    <row r="651" spans="1:14" ht="15.75" customHeight="1">
      <c r="A651" s="84"/>
      <c r="B651" s="12"/>
      <c r="C651" s="76"/>
      <c r="D651" s="12"/>
      <c r="E651" s="12"/>
      <c r="F651" s="76"/>
      <c r="G651" s="12"/>
      <c r="H651" s="12"/>
      <c r="I651" s="12"/>
      <c r="J651" s="12"/>
      <c r="K651" s="12"/>
      <c r="L651" s="12"/>
      <c r="M651" s="12"/>
      <c r="N651" s="12"/>
    </row>
    <row r="652" spans="1:14" ht="15.75" customHeight="1">
      <c r="A652" s="12"/>
      <c r="B652" s="12"/>
      <c r="C652" s="14"/>
      <c r="D652" s="12"/>
      <c r="E652" s="12"/>
      <c r="F652" s="14"/>
      <c r="G652" s="12"/>
      <c r="H652" s="12"/>
      <c r="I652" s="12"/>
      <c r="J652" s="12"/>
      <c r="K652" s="12"/>
      <c r="L652" s="12"/>
      <c r="M652" s="12"/>
      <c r="N652" s="12"/>
    </row>
    <row r="653" spans="1:14" ht="15.75" customHeight="1">
      <c r="A653" s="12"/>
      <c r="B653" s="15"/>
      <c r="C653" s="14"/>
      <c r="D653" s="12"/>
      <c r="E653" s="13"/>
      <c r="F653" s="25"/>
      <c r="G653" s="16"/>
      <c r="H653" s="12"/>
      <c r="I653" s="13"/>
      <c r="J653" s="25"/>
      <c r="K653" s="12"/>
      <c r="L653" s="12"/>
      <c r="M653" s="12"/>
      <c r="N653" s="12"/>
    </row>
    <row r="654" spans="1:14" ht="15.75" customHeight="1">
      <c r="A654" s="12"/>
      <c r="B654" s="12"/>
      <c r="C654" s="12"/>
      <c r="D654" s="12"/>
      <c r="E654" s="15"/>
      <c r="F654" s="14"/>
      <c r="G654" s="12"/>
      <c r="H654" s="12"/>
      <c r="I654" s="12"/>
      <c r="J654" s="12"/>
      <c r="K654" s="12"/>
      <c r="L654" s="12"/>
      <c r="M654" s="12"/>
      <c r="N654" s="12"/>
    </row>
    <row r="655" spans="1:14" ht="15.75" customHeight="1">
      <c r="A655" s="84"/>
      <c r="B655" s="12"/>
      <c r="C655" s="12"/>
      <c r="D655" s="12"/>
      <c r="E655" s="12"/>
      <c r="F655" s="12"/>
      <c r="G655" s="76"/>
      <c r="H655" s="12"/>
      <c r="I655" s="12"/>
      <c r="J655" s="76"/>
      <c r="K655" s="12"/>
      <c r="L655" s="12"/>
      <c r="M655" s="12"/>
      <c r="N655" s="12"/>
    </row>
    <row r="656" spans="1:14" ht="15.75" customHeight="1">
      <c r="A656" s="12"/>
      <c r="B656" s="12"/>
      <c r="C656" s="12"/>
      <c r="D656" s="12"/>
      <c r="E656" s="15"/>
      <c r="F656" s="14"/>
      <c r="G656" s="12"/>
      <c r="H656" s="12"/>
      <c r="I656" s="12"/>
      <c r="J656" s="12"/>
      <c r="K656" s="12"/>
      <c r="L656" s="12"/>
      <c r="M656" s="12"/>
      <c r="N656" s="12"/>
    </row>
    <row r="657" spans="1:14" ht="15.75" customHeight="1">
      <c r="A657" s="12"/>
      <c r="B657" s="15"/>
      <c r="C657" s="12"/>
      <c r="D657" s="12"/>
      <c r="E657" s="15"/>
      <c r="F657" s="14"/>
      <c r="G657" s="12"/>
      <c r="H657" s="13"/>
      <c r="I657" s="25"/>
      <c r="J657" s="12"/>
      <c r="K657" s="12"/>
      <c r="L657" s="12"/>
      <c r="M657" s="12"/>
      <c r="N657" s="12"/>
    </row>
    <row r="658" spans="1:14" ht="15.75" customHeight="1">
      <c r="A658" s="12"/>
      <c r="B658" s="12"/>
      <c r="C658" s="12"/>
      <c r="D658" s="12"/>
      <c r="E658" s="15"/>
      <c r="F658" s="14"/>
      <c r="G658" s="12"/>
      <c r="H658" s="12"/>
      <c r="I658" s="12"/>
      <c r="J658" s="12"/>
      <c r="K658" s="12"/>
      <c r="L658" s="12"/>
      <c r="M658" s="12"/>
      <c r="N658" s="12"/>
    </row>
    <row r="659" spans="1:14" ht="15.75" customHeight="1">
      <c r="A659" s="16"/>
      <c r="B659" s="13"/>
      <c r="C659" s="25"/>
      <c r="D659" s="12"/>
      <c r="E659" s="15"/>
      <c r="F659" s="14"/>
      <c r="G659" s="12"/>
      <c r="H659" s="15"/>
      <c r="I659" s="14"/>
      <c r="J659" s="12"/>
      <c r="K659" s="15"/>
      <c r="L659" s="14"/>
      <c r="M659" s="12"/>
      <c r="N659" s="12"/>
    </row>
    <row r="660" spans="1:14" ht="15.75" customHeight="1">
      <c r="A660" s="12"/>
      <c r="B660" s="12"/>
      <c r="C660" s="12"/>
      <c r="D660" s="12"/>
      <c r="E660" s="15"/>
      <c r="F660" s="14"/>
      <c r="G660" s="12"/>
      <c r="H660" s="12"/>
      <c r="I660" s="12"/>
      <c r="J660" s="12"/>
      <c r="K660" s="12"/>
      <c r="L660" s="12"/>
      <c r="M660" s="12"/>
      <c r="N660" s="12"/>
    </row>
    <row r="661" spans="1:10" s="12" customFormat="1" ht="15.75" customHeight="1">
      <c r="A661" s="84"/>
      <c r="G661" s="76"/>
      <c r="J661" s="76"/>
    </row>
    <row r="662" s="12" customFormat="1" ht="15.75" customHeight="1">
      <c r="A662" s="76"/>
    </row>
    <row r="663" s="12" customFormat="1" ht="15.75" customHeight="1"/>
    <row r="664" spans="1:12" s="12" customFormat="1" ht="15.75" customHeight="1">
      <c r="A664" s="16"/>
      <c r="C664" s="14"/>
      <c r="H664" s="15"/>
      <c r="I664" s="14"/>
      <c r="K664" s="15"/>
      <c r="L664" s="14"/>
    </row>
    <row r="665" spans="1:12" s="12" customFormat="1" ht="15.75" customHeight="1">
      <c r="A665" s="16"/>
      <c r="C665" s="14"/>
      <c r="E665" s="15"/>
      <c r="F665" s="14"/>
      <c r="H665" s="15"/>
      <c r="I665" s="14"/>
      <c r="K665" s="15"/>
      <c r="L665" s="14"/>
    </row>
    <row r="666" spans="5:6" s="12" customFormat="1" ht="15.75" customHeight="1">
      <c r="E666" s="15"/>
      <c r="F666" s="14"/>
    </row>
    <row r="667" spans="1:6" s="12" customFormat="1" ht="15.75" customHeight="1">
      <c r="A667" s="84"/>
      <c r="C667" s="76"/>
      <c r="F667" s="76"/>
    </row>
    <row r="668" spans="3:6" s="12" customFormat="1" ht="15.75" customHeight="1">
      <c r="C668" s="14"/>
      <c r="F668" s="14"/>
    </row>
    <row r="669" spans="2:10" s="12" customFormat="1" ht="15.75" customHeight="1">
      <c r="B669" s="15"/>
      <c r="C669" s="14"/>
      <c r="E669" s="13"/>
      <c r="F669" s="25"/>
      <c r="G669" s="16"/>
      <c r="I669" s="13"/>
      <c r="J669" s="25"/>
    </row>
    <row r="670" spans="5:6" s="12" customFormat="1" ht="15.75" customHeight="1">
      <c r="E670" s="15"/>
      <c r="F670" s="14"/>
    </row>
    <row r="671" spans="1:14" ht="15.75" customHeight="1">
      <c r="A671" s="84"/>
      <c r="B671" s="12"/>
      <c r="C671" s="12"/>
      <c r="D671" s="12"/>
      <c r="E671" s="12"/>
      <c r="F671" s="12"/>
      <c r="G671" s="76"/>
      <c r="H671" s="12"/>
      <c r="I671" s="12"/>
      <c r="J671" s="76"/>
      <c r="K671" s="12"/>
      <c r="L671" s="12"/>
      <c r="M671" s="12"/>
      <c r="N671" s="12"/>
    </row>
    <row r="672" spans="1:14" ht="15.75" customHeight="1">
      <c r="A672" s="12"/>
      <c r="B672" s="12"/>
      <c r="C672" s="12"/>
      <c r="D672" s="12"/>
      <c r="E672" s="15"/>
      <c r="F672" s="14"/>
      <c r="G672" s="12"/>
      <c r="H672" s="12"/>
      <c r="I672" s="12"/>
      <c r="J672" s="12"/>
      <c r="K672" s="12"/>
      <c r="L672" s="12"/>
      <c r="M672" s="12"/>
      <c r="N672" s="12"/>
    </row>
    <row r="673" spans="1:14" ht="15.75" customHeight="1">
      <c r="A673" s="12"/>
      <c r="B673" s="12"/>
      <c r="C673" s="12"/>
      <c r="D673" s="12"/>
      <c r="E673" s="15"/>
      <c r="F673" s="14"/>
      <c r="G673" s="12"/>
      <c r="H673" s="12"/>
      <c r="I673" s="12"/>
      <c r="J673" s="12"/>
      <c r="K673" s="12"/>
      <c r="L673" s="12"/>
      <c r="M673" s="12"/>
      <c r="N673" s="12"/>
    </row>
    <row r="674" spans="1:14" ht="15.75" customHeight="1">
      <c r="A674" s="12"/>
      <c r="B674" s="15"/>
      <c r="C674" s="14"/>
      <c r="D674" s="12"/>
      <c r="E674" s="12"/>
      <c r="F674" s="14"/>
      <c r="G674" s="12"/>
      <c r="H674" s="12"/>
      <c r="I674" s="12"/>
      <c r="J674" s="12"/>
      <c r="K674" s="12"/>
      <c r="L674" s="12"/>
      <c r="M674" s="12"/>
      <c r="N674" s="12"/>
    </row>
    <row r="675" spans="1:14" ht="15.75" customHeight="1">
      <c r="A675" s="12"/>
      <c r="B675" s="12"/>
      <c r="C675" s="12"/>
      <c r="D675" s="12"/>
      <c r="E675" s="15"/>
      <c r="F675" s="14"/>
      <c r="G675" s="12"/>
      <c r="H675" s="12"/>
      <c r="I675" s="12"/>
      <c r="J675" s="12"/>
      <c r="K675" s="12"/>
      <c r="L675" s="12"/>
      <c r="M675" s="12"/>
      <c r="N675" s="12"/>
    </row>
    <row r="676" spans="1:14" ht="15.75" customHeight="1">
      <c r="A676" s="14"/>
      <c r="B676" s="12"/>
      <c r="C676" s="12"/>
      <c r="D676" s="12"/>
      <c r="E676" s="15"/>
      <c r="F676" s="14"/>
      <c r="G676" s="84"/>
      <c r="H676" s="12"/>
      <c r="I676" s="12"/>
      <c r="J676" s="12"/>
      <c r="K676" s="12"/>
      <c r="L676" s="12"/>
      <c r="M676" s="12"/>
      <c r="N676" s="12"/>
    </row>
    <row r="677" spans="1:14" ht="15.75" customHeight="1">
      <c r="A677" s="12"/>
      <c r="B677" s="12"/>
      <c r="C677" s="12"/>
      <c r="D677" s="12"/>
      <c r="E677" s="15"/>
      <c r="F677" s="14"/>
      <c r="G677" s="12"/>
      <c r="H677" s="12"/>
      <c r="I677" s="12"/>
      <c r="J677" s="12"/>
      <c r="K677" s="12"/>
      <c r="L677" s="12"/>
      <c r="M677" s="12"/>
      <c r="N677" s="12"/>
    </row>
    <row r="678" spans="1:14" ht="15.75" customHeight="1">
      <c r="A678" s="29"/>
      <c r="B678" s="115"/>
      <c r="C678" s="14"/>
      <c r="D678" s="84"/>
      <c r="E678" s="15"/>
      <c r="F678" s="14"/>
      <c r="G678" s="12"/>
      <c r="H678" s="15"/>
      <c r="I678" s="12"/>
      <c r="J678" s="12"/>
      <c r="K678" s="12"/>
      <c r="L678" s="12"/>
      <c r="M678" s="12"/>
      <c r="N678" s="12"/>
    </row>
    <row r="679" spans="1:14" ht="15.75" customHeight="1">
      <c r="A679" s="12"/>
      <c r="B679" s="12"/>
      <c r="C679" s="12"/>
      <c r="D679" s="12"/>
      <c r="E679" s="12"/>
      <c r="F679" s="12"/>
      <c r="G679" s="12"/>
      <c r="H679" s="15"/>
      <c r="I679" s="14"/>
      <c r="J679" s="16"/>
      <c r="K679" s="13"/>
      <c r="L679" s="25"/>
      <c r="M679" s="12"/>
      <c r="N679" s="12"/>
    </row>
    <row r="680" spans="1:14" ht="15.75" customHeight="1">
      <c r="A680" s="12"/>
      <c r="B680" s="12"/>
      <c r="C680" s="12"/>
      <c r="D680" s="12"/>
      <c r="E680" s="15"/>
      <c r="F680" s="14"/>
      <c r="G680" s="12"/>
      <c r="H680" s="12"/>
      <c r="I680" s="12"/>
      <c r="J680" s="12"/>
      <c r="K680" s="12"/>
      <c r="L680" s="12"/>
      <c r="M680" s="12"/>
      <c r="N680" s="12"/>
    </row>
    <row r="681" spans="1:14" ht="15.75" customHeight="1">
      <c r="A681" s="12"/>
      <c r="B681" s="13"/>
      <c r="C681" s="25"/>
      <c r="D681" s="12"/>
      <c r="E681" s="12"/>
      <c r="F681" s="12"/>
      <c r="G681" s="12"/>
      <c r="H681" s="12"/>
      <c r="I681" s="12"/>
      <c r="J681" s="12"/>
      <c r="K681" s="15"/>
      <c r="L681" s="14"/>
      <c r="M681" s="12"/>
      <c r="N681" s="12"/>
    </row>
    <row r="682" spans="1:14" ht="15.75" customHeight="1">
      <c r="A682" s="12"/>
      <c r="B682" s="15"/>
      <c r="C682" s="14"/>
      <c r="D682" s="14"/>
      <c r="E682" s="15"/>
      <c r="F682" s="14"/>
      <c r="G682" s="12"/>
      <c r="H682" s="12"/>
      <c r="I682" s="12"/>
      <c r="J682" s="12"/>
      <c r="K682" s="12"/>
      <c r="L682" s="12"/>
      <c r="M682" s="12"/>
      <c r="N682" s="12"/>
    </row>
    <row r="683" spans="1:14" ht="15.75" customHeight="1">
      <c r="A683" s="12"/>
      <c r="B683" s="12"/>
      <c r="C683" s="12"/>
      <c r="D683" s="12"/>
      <c r="E683" s="15"/>
      <c r="F683" s="14"/>
      <c r="G683" s="12"/>
      <c r="H683" s="13"/>
      <c r="I683" s="25"/>
      <c r="J683" s="12"/>
      <c r="K683" s="12"/>
      <c r="L683" s="12"/>
      <c r="M683" s="12"/>
      <c r="N683" s="12"/>
    </row>
    <row r="684" spans="1:14" ht="15.75" customHeight="1">
      <c r="A684" s="16"/>
      <c r="B684" s="15"/>
      <c r="C684" s="14"/>
      <c r="D684" s="16"/>
      <c r="E684" s="15"/>
      <c r="F684" s="14"/>
      <c r="G684" s="12"/>
      <c r="H684" s="12"/>
      <c r="I684" s="12"/>
      <c r="J684" s="12"/>
      <c r="K684" s="12"/>
      <c r="L684" s="12"/>
      <c r="M684" s="12"/>
      <c r="N684" s="12"/>
    </row>
    <row r="685" spans="1:14" ht="15.75" customHeight="1">
      <c r="A685" s="76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1:14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1:14" ht="15.75" customHeight="1">
      <c r="A687" s="16"/>
      <c r="B687" s="12"/>
      <c r="C687" s="14"/>
      <c r="D687" s="12"/>
      <c r="E687" s="15"/>
      <c r="F687" s="14"/>
      <c r="G687" s="12"/>
      <c r="H687" s="15"/>
      <c r="I687" s="14"/>
      <c r="J687" s="12"/>
      <c r="K687" s="12"/>
      <c r="L687" s="12"/>
      <c r="M687" s="12"/>
      <c r="N687" s="12"/>
    </row>
    <row r="688" spans="1:14" ht="15.75" customHeight="1">
      <c r="A688" s="12"/>
      <c r="B688" s="15"/>
      <c r="C688" s="14"/>
      <c r="D688" s="12"/>
      <c r="E688" s="15"/>
      <c r="F688" s="14"/>
      <c r="G688" s="12"/>
      <c r="H688" s="15"/>
      <c r="I688" s="14"/>
      <c r="J688" s="12"/>
      <c r="K688" s="12"/>
      <c r="L688" s="12"/>
      <c r="M688" s="12"/>
      <c r="N688" s="12"/>
    </row>
    <row r="689" spans="1:14" ht="15.75" customHeight="1">
      <c r="A689" s="12"/>
      <c r="B689" s="12"/>
      <c r="C689" s="14"/>
      <c r="D689" s="12"/>
      <c r="E689" s="12"/>
      <c r="F689" s="14"/>
      <c r="G689" s="12"/>
      <c r="H689" s="12"/>
      <c r="I689" s="12"/>
      <c r="J689" s="12"/>
      <c r="K689" s="12"/>
      <c r="L689" s="12"/>
      <c r="M689" s="12"/>
      <c r="N689" s="12"/>
    </row>
    <row r="690" spans="1:14" ht="15.75" customHeight="1">
      <c r="A690" s="12"/>
      <c r="B690" s="12"/>
      <c r="C690" s="14"/>
      <c r="D690" s="12"/>
      <c r="E690" s="13"/>
      <c r="F690" s="14"/>
      <c r="G690" s="12"/>
      <c r="H690" s="15"/>
      <c r="I690" s="14"/>
      <c r="J690" s="12"/>
      <c r="K690" s="12"/>
      <c r="L690" s="12"/>
      <c r="M690" s="12"/>
      <c r="N690" s="12"/>
    </row>
    <row r="691" spans="1:14" ht="15.75" customHeight="1">
      <c r="A691" s="12"/>
      <c r="B691" s="12"/>
      <c r="C691" s="14"/>
      <c r="D691" s="12"/>
      <c r="E691" s="13"/>
      <c r="F691" s="14"/>
      <c r="G691" s="12"/>
      <c r="H691" s="15"/>
      <c r="I691" s="14"/>
      <c r="J691" s="12"/>
      <c r="K691" s="12"/>
      <c r="L691" s="12"/>
      <c r="M691" s="12"/>
      <c r="N691" s="12"/>
    </row>
    <row r="692" spans="1:14" ht="15.75" customHeight="1">
      <c r="A692" s="12"/>
      <c r="B692" s="12"/>
      <c r="C692" s="14"/>
      <c r="D692" s="12"/>
      <c r="E692" s="13"/>
      <c r="F692" s="14"/>
      <c r="G692" s="12"/>
      <c r="H692" s="15"/>
      <c r="I692" s="14"/>
      <c r="J692" s="12"/>
      <c r="K692" s="12"/>
      <c r="L692" s="12"/>
      <c r="M692" s="12"/>
      <c r="N692" s="12"/>
    </row>
    <row r="693" spans="1:14" ht="15.75" customHeight="1">
      <c r="A693" s="12"/>
      <c r="B693" s="13"/>
      <c r="C693" s="25"/>
      <c r="D693" s="12"/>
      <c r="E693" s="13"/>
      <c r="F693" s="14"/>
      <c r="G693" s="12"/>
      <c r="H693" s="13"/>
      <c r="I693" s="14"/>
      <c r="J693" s="12"/>
      <c r="K693" s="12"/>
      <c r="L693" s="12"/>
      <c r="M693" s="12"/>
      <c r="N693" s="12"/>
    </row>
    <row r="694" spans="1:1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</row>
    <row r="695" spans="1:14" ht="15.75" customHeight="1">
      <c r="A695" s="12"/>
      <c r="B695" s="12"/>
      <c r="C695" s="14"/>
      <c r="D695" s="12"/>
      <c r="E695" s="12"/>
      <c r="F695" s="14"/>
      <c r="G695" s="12"/>
      <c r="H695" s="12"/>
      <c r="I695" s="12"/>
      <c r="J695" s="12"/>
      <c r="K695" s="12"/>
      <c r="L695" s="12"/>
      <c r="M695" s="12"/>
      <c r="N695" s="12"/>
    </row>
    <row r="696" spans="1:14" ht="15.75" customHeight="1">
      <c r="A696" s="76"/>
      <c r="B696" s="12"/>
      <c r="C696" s="14"/>
      <c r="D696" s="77"/>
      <c r="E696" s="12"/>
      <c r="F696" s="12"/>
      <c r="G696" s="12"/>
      <c r="H696" s="12"/>
      <c r="I696" s="12"/>
      <c r="J696" s="12"/>
      <c r="K696" s="12"/>
      <c r="L696" s="12"/>
      <c r="M696" s="12"/>
      <c r="N696" s="12"/>
    </row>
    <row r="697" spans="1:14" ht="15.75" customHeight="1">
      <c r="A697" s="12"/>
      <c r="B697" s="12"/>
      <c r="C697" s="14"/>
      <c r="D697" s="12"/>
      <c r="E697" s="12"/>
      <c r="F697" s="14"/>
      <c r="G697" s="12"/>
      <c r="H697" s="12"/>
      <c r="I697" s="12"/>
      <c r="J697" s="12"/>
      <c r="K697" s="12"/>
      <c r="L697" s="12"/>
      <c r="M697" s="12"/>
      <c r="N697" s="12"/>
    </row>
    <row r="698" spans="1:14" ht="15.75" customHeight="1">
      <c r="A698" s="12"/>
      <c r="B698" s="15"/>
      <c r="C698" s="28"/>
      <c r="D698" s="12"/>
      <c r="E698" s="15"/>
      <c r="F698" s="28"/>
      <c r="G698" s="12"/>
      <c r="H698" s="12"/>
      <c r="I698" s="16"/>
      <c r="J698" s="12"/>
      <c r="K698" s="28"/>
      <c r="L698" s="25"/>
      <c r="M698" s="12"/>
      <c r="N698" s="12"/>
    </row>
    <row r="699" spans="1:14" ht="15.75" customHeight="1">
      <c r="A699" s="29"/>
      <c r="B699" s="15"/>
      <c r="C699" s="28"/>
      <c r="D699" s="12"/>
      <c r="E699" s="15"/>
      <c r="F699" s="28"/>
      <c r="G699" s="12"/>
      <c r="H699" s="16"/>
      <c r="I699" s="12"/>
      <c r="J699" s="12"/>
      <c r="K699" s="28"/>
      <c r="L699" s="12"/>
      <c r="M699" s="12"/>
      <c r="N699" s="12"/>
    </row>
    <row r="700" spans="1:14" ht="15.75" customHeight="1">
      <c r="A700" s="12"/>
      <c r="B700" s="15"/>
      <c r="C700" s="28"/>
      <c r="D700" s="12"/>
      <c r="E700" s="12"/>
      <c r="F700" s="15"/>
      <c r="G700" s="28"/>
      <c r="H700" s="12"/>
      <c r="I700" s="78"/>
      <c r="J700" s="79"/>
      <c r="K700" s="12"/>
      <c r="L700" s="12"/>
      <c r="M700" s="12"/>
      <c r="N700" s="12"/>
    </row>
    <row r="701" spans="1:14" ht="15.75" customHeight="1">
      <c r="A701" s="12"/>
      <c r="B701" s="12"/>
      <c r="C701" s="12"/>
      <c r="D701" s="12"/>
      <c r="E701" s="15"/>
      <c r="F701" s="28"/>
      <c r="G701" s="12"/>
      <c r="H701" s="12"/>
      <c r="I701" s="78"/>
      <c r="J701" s="79"/>
      <c r="K701" s="12"/>
      <c r="L701" s="12"/>
      <c r="M701" s="12"/>
      <c r="N701" s="12"/>
    </row>
    <row r="702" spans="1:14" ht="15.75" customHeight="1">
      <c r="A702" s="27"/>
      <c r="B702" s="27"/>
      <c r="C702" s="27"/>
      <c r="D702" s="27"/>
      <c r="E702" s="27"/>
      <c r="F702" s="27"/>
      <c r="G702" s="27"/>
      <c r="H702" s="13"/>
      <c r="I702" s="12"/>
      <c r="J702" s="12"/>
      <c r="K702" s="12"/>
      <c r="L702" s="12"/>
      <c r="M702" s="12"/>
      <c r="N702" s="12"/>
    </row>
    <row r="703" spans="1:14" ht="15.75" customHeight="1">
      <c r="A703" s="32"/>
      <c r="B703" s="33"/>
      <c r="C703" s="33"/>
      <c r="D703" s="33"/>
      <c r="E703" s="33"/>
      <c r="F703" s="33"/>
      <c r="G703" s="33"/>
      <c r="H703" s="13"/>
      <c r="I703" s="12"/>
      <c r="J703" s="12"/>
      <c r="K703" s="12"/>
      <c r="L703" s="12"/>
      <c r="M703" s="12"/>
      <c r="N703" s="12"/>
    </row>
    <row r="704" spans="1:14" ht="15.75" customHeight="1">
      <c r="A704" s="33"/>
      <c r="B704" s="33"/>
      <c r="C704" s="33"/>
      <c r="D704" s="33"/>
      <c r="E704" s="33"/>
      <c r="F704" s="33"/>
      <c r="G704" s="33"/>
      <c r="H704" s="12"/>
      <c r="I704" s="12"/>
      <c r="J704" s="12"/>
      <c r="K704" s="12"/>
      <c r="L704" s="12"/>
      <c r="M704" s="12"/>
      <c r="N704" s="12"/>
    </row>
    <row r="705" spans="1:14" ht="15.75" customHeight="1">
      <c r="A705" s="70"/>
      <c r="B705" s="12"/>
      <c r="C705" s="35"/>
      <c r="D705" s="36"/>
      <c r="E705" s="34"/>
      <c r="F705" s="12"/>
      <c r="G705" s="37"/>
      <c r="H705" s="36"/>
      <c r="I705" s="12"/>
      <c r="J705" s="12"/>
      <c r="K705" s="12"/>
      <c r="L705" s="12"/>
      <c r="M705" s="12"/>
      <c r="N705" s="12"/>
    </row>
    <row r="706" spans="1:14" ht="15.75" customHeight="1">
      <c r="A706" s="70"/>
      <c r="B706" s="12"/>
      <c r="C706" s="35"/>
      <c r="D706" s="36"/>
      <c r="E706" s="36"/>
      <c r="F706" s="34"/>
      <c r="G706" s="34"/>
      <c r="H706" s="36"/>
      <c r="I706" s="13"/>
      <c r="J706" s="12"/>
      <c r="K706" s="12"/>
      <c r="L706" s="12"/>
      <c r="M706" s="12"/>
      <c r="N706" s="12"/>
    </row>
    <row r="707" spans="1:14" ht="15.75" customHeight="1">
      <c r="A707" s="70"/>
      <c r="B707" s="12"/>
      <c r="C707" s="35"/>
      <c r="D707" s="36"/>
      <c r="E707" s="38"/>
      <c r="F707" s="34"/>
      <c r="G707" s="37"/>
      <c r="H707" s="36"/>
      <c r="I707" s="12"/>
      <c r="J707" s="12"/>
      <c r="K707" s="12"/>
      <c r="L707" s="12"/>
      <c r="M707" s="12"/>
      <c r="N707" s="12"/>
    </row>
    <row r="708" spans="1:14" ht="15.75" customHeight="1">
      <c r="A708" s="70"/>
      <c r="B708" s="12"/>
      <c r="C708" s="35"/>
      <c r="D708" s="36"/>
      <c r="E708" s="36"/>
      <c r="F708" s="36"/>
      <c r="G708" s="36"/>
      <c r="H708" s="12"/>
      <c r="I708" s="12"/>
      <c r="J708" s="12"/>
      <c r="K708" s="12"/>
      <c r="L708" s="12"/>
      <c r="M708" s="12"/>
      <c r="N708" s="12"/>
    </row>
    <row r="709" spans="1:14" ht="15.75" customHeight="1">
      <c r="A709" s="70"/>
      <c r="B709" s="35"/>
      <c r="C709" s="36"/>
      <c r="D709" s="12"/>
      <c r="E709" s="33"/>
      <c r="F709" s="39"/>
      <c r="G709" s="37"/>
      <c r="H709" s="36"/>
      <c r="I709" s="12"/>
      <c r="J709" s="12"/>
      <c r="K709" s="12"/>
      <c r="L709" s="12"/>
      <c r="M709" s="12"/>
      <c r="N709" s="12"/>
    </row>
    <row r="710" spans="1:14" ht="15.75" customHeight="1">
      <c r="A710" s="70"/>
      <c r="B710" s="12"/>
      <c r="C710" s="35"/>
      <c r="D710" s="36"/>
      <c r="E710" s="33"/>
      <c r="F710" s="39"/>
      <c r="G710" s="36"/>
      <c r="H710" s="12"/>
      <c r="I710" s="12"/>
      <c r="J710" s="12"/>
      <c r="K710" s="12"/>
      <c r="L710" s="12"/>
      <c r="M710" s="12"/>
      <c r="N710" s="12"/>
    </row>
    <row r="711" spans="1:14" ht="15.75" customHeight="1">
      <c r="A711" s="70"/>
      <c r="B711" s="35"/>
      <c r="C711" s="36"/>
      <c r="D711" s="12"/>
      <c r="E711" s="33"/>
      <c r="F711" s="39"/>
      <c r="G711" s="35"/>
      <c r="H711" s="36"/>
      <c r="I711" s="12"/>
      <c r="J711" s="12"/>
      <c r="K711" s="12"/>
      <c r="L711" s="12"/>
      <c r="M711" s="12"/>
      <c r="N711" s="12"/>
    </row>
    <row r="712" spans="1:14" ht="15.75" customHeight="1">
      <c r="A712" s="70"/>
      <c r="B712" s="12"/>
      <c r="C712" s="35"/>
      <c r="D712" s="36"/>
      <c r="E712" s="33"/>
      <c r="F712" s="39"/>
      <c r="G712" s="36"/>
      <c r="H712" s="12"/>
      <c r="I712" s="12"/>
      <c r="J712" s="12"/>
      <c r="K712" s="12"/>
      <c r="L712" s="12"/>
      <c r="M712" s="12"/>
      <c r="N712" s="12"/>
    </row>
    <row r="713" spans="1:14" ht="15.75" customHeight="1">
      <c r="A713" s="70"/>
      <c r="B713" s="12"/>
      <c r="C713" s="35"/>
      <c r="D713" s="36"/>
      <c r="E713" s="33"/>
      <c r="F713" s="80"/>
      <c r="G713" s="35"/>
      <c r="H713" s="70"/>
      <c r="I713" s="12"/>
      <c r="J713" s="12"/>
      <c r="K713" s="12"/>
      <c r="L713" s="12"/>
      <c r="M713" s="12"/>
      <c r="N713" s="12"/>
    </row>
    <row r="714" spans="1:14" ht="15.75" customHeight="1">
      <c r="A714" s="70"/>
      <c r="B714" s="12"/>
      <c r="C714" s="35"/>
      <c r="D714" s="36"/>
      <c r="E714" s="34"/>
      <c r="F714" s="34"/>
      <c r="G714" s="34"/>
      <c r="H714" s="12"/>
      <c r="I714" s="12"/>
      <c r="J714" s="12"/>
      <c r="K714" s="12"/>
      <c r="L714" s="12"/>
      <c r="M714" s="12"/>
      <c r="N714" s="12"/>
    </row>
    <row r="715" spans="1:14" ht="15.75" customHeight="1">
      <c r="A715" s="70"/>
      <c r="B715" s="35"/>
      <c r="C715" s="70"/>
      <c r="D715" s="12"/>
      <c r="E715" s="81"/>
      <c r="F715" s="33"/>
      <c r="G715" s="33"/>
      <c r="H715" s="15"/>
      <c r="I715" s="14"/>
      <c r="J715" s="12"/>
      <c r="K715" s="12"/>
      <c r="L715" s="12"/>
      <c r="M715" s="12"/>
      <c r="N715" s="12"/>
    </row>
    <row r="716" spans="1:13" ht="15.75" customHeight="1">
      <c r="A716" s="12"/>
      <c r="B716" s="15"/>
      <c r="C716" s="14"/>
      <c r="D716" s="27"/>
      <c r="E716" s="26"/>
      <c r="F716" s="26"/>
      <c r="G716" s="26"/>
      <c r="H716" s="12"/>
      <c r="I716" s="12"/>
      <c r="J716" s="12"/>
      <c r="K716" s="12"/>
      <c r="L716" s="12"/>
      <c r="M716" s="12"/>
    </row>
    <row r="717" spans="1:13" ht="15.75" customHeight="1">
      <c r="A717" s="46"/>
      <c r="B717" s="15"/>
      <c r="C717" s="14"/>
      <c r="D717" s="27"/>
      <c r="E717" s="26"/>
      <c r="F717" s="26"/>
      <c r="G717" s="26"/>
      <c r="H717" s="12"/>
      <c r="I717" s="12"/>
      <c r="J717" s="12"/>
      <c r="K717" s="12"/>
      <c r="L717" s="12"/>
      <c r="M717" s="12"/>
    </row>
    <row r="718" spans="1:13" ht="15.75" customHeight="1">
      <c r="A718" s="12"/>
      <c r="B718" s="15"/>
      <c r="C718" s="14"/>
      <c r="D718" s="27"/>
      <c r="E718" s="26"/>
      <c r="F718" s="26"/>
      <c r="G718" s="26"/>
      <c r="H718" s="12"/>
      <c r="I718" s="12"/>
      <c r="J718" s="12"/>
      <c r="K718" s="24"/>
      <c r="L718" s="12"/>
      <c r="M718" s="12"/>
    </row>
    <row r="719" spans="1:13" ht="15.75" customHeight="1">
      <c r="A719" s="71"/>
      <c r="B719" s="12"/>
      <c r="C719" s="48"/>
      <c r="D719" s="49"/>
      <c r="E719" s="12"/>
      <c r="F719" s="47"/>
      <c r="G719" s="51"/>
      <c r="H719" s="49"/>
      <c r="I719" s="12"/>
      <c r="J719" s="12"/>
      <c r="K719" s="12"/>
      <c r="L719" s="12"/>
      <c r="M719" s="12"/>
    </row>
    <row r="720" spans="1:13" ht="15.75" customHeight="1">
      <c r="A720" s="47"/>
      <c r="B720" s="51"/>
      <c r="C720" s="71"/>
      <c r="D720" s="50"/>
      <c r="E720" s="50"/>
      <c r="F720" s="50"/>
      <c r="G720" s="50"/>
      <c r="H720" s="15"/>
      <c r="I720" s="12"/>
      <c r="J720" s="15"/>
      <c r="K720" s="12"/>
      <c r="L720" s="12"/>
      <c r="M720" s="12"/>
    </row>
    <row r="721" spans="1:13" ht="15.75" customHeight="1">
      <c r="A721" s="72"/>
      <c r="B721" s="12"/>
      <c r="C721" s="48"/>
      <c r="D721" s="49"/>
      <c r="E721" s="12"/>
      <c r="F721" s="47"/>
      <c r="G721" s="51"/>
      <c r="H721" s="49"/>
      <c r="I721" s="14"/>
      <c r="J721" s="12"/>
      <c r="K721" s="12"/>
      <c r="L721" s="12"/>
      <c r="M721" s="12"/>
    </row>
    <row r="722" spans="1:13" ht="15.75" customHeight="1">
      <c r="A722" s="12"/>
      <c r="B722" s="15"/>
      <c r="C722" s="14"/>
      <c r="D722" s="27"/>
      <c r="E722" s="26"/>
      <c r="F722" s="26"/>
      <c r="G722" s="26"/>
      <c r="H722" s="12"/>
      <c r="I722" s="14"/>
      <c r="J722" s="12"/>
      <c r="K722" s="12"/>
      <c r="L722" s="12"/>
      <c r="M722" s="12"/>
    </row>
    <row r="723" spans="1:13" ht="15.75" customHeight="1">
      <c r="A723" s="55"/>
      <c r="B723" s="64"/>
      <c r="C723" s="73"/>
      <c r="D723" s="58"/>
      <c r="E723" s="58"/>
      <c r="F723" s="58"/>
      <c r="G723" s="58"/>
      <c r="H723" s="12"/>
      <c r="I723" s="14"/>
      <c r="J723" s="12"/>
      <c r="K723" s="12"/>
      <c r="L723" s="12"/>
      <c r="M723" s="12"/>
    </row>
    <row r="724" spans="1:13" ht="15.75" customHeight="1">
      <c r="A724" s="60"/>
      <c r="B724" s="64"/>
      <c r="C724" s="73"/>
      <c r="D724" s="58"/>
      <c r="E724" s="58"/>
      <c r="F724" s="58"/>
      <c r="G724" s="58"/>
      <c r="H724" s="12"/>
      <c r="I724" s="14"/>
      <c r="J724" s="12"/>
      <c r="K724" s="12"/>
      <c r="L724" s="12"/>
      <c r="M724" s="12"/>
    </row>
    <row r="725" spans="1:13" ht="15.75" customHeight="1">
      <c r="A725" s="73"/>
      <c r="B725" s="12"/>
      <c r="C725" s="61"/>
      <c r="D725" s="62"/>
      <c r="E725" s="63"/>
      <c r="F725" s="61"/>
      <c r="G725" s="62"/>
      <c r="H725" s="12"/>
      <c r="I725" s="14"/>
      <c r="J725" s="12"/>
      <c r="K725" s="12"/>
      <c r="L725" s="12"/>
      <c r="M725" s="12"/>
    </row>
    <row r="726" spans="1:13" ht="15.75" customHeight="1">
      <c r="A726" s="73"/>
      <c r="B726" s="12"/>
      <c r="C726" s="64"/>
      <c r="D726" s="62"/>
      <c r="E726" s="63"/>
      <c r="F726" s="61"/>
      <c r="G726" s="62"/>
      <c r="H726" s="12"/>
      <c r="I726" s="14"/>
      <c r="J726" s="12"/>
      <c r="K726" s="12"/>
      <c r="L726" s="12"/>
      <c r="M726" s="12"/>
    </row>
    <row r="727" spans="1:13" ht="15.75" customHeight="1">
      <c r="A727" s="73"/>
      <c r="B727" s="12"/>
      <c r="C727" s="64"/>
      <c r="D727" s="62"/>
      <c r="E727" s="12"/>
      <c r="F727" s="63"/>
      <c r="G727" s="12"/>
      <c r="H727" s="61"/>
      <c r="I727" s="62"/>
      <c r="J727" s="12"/>
      <c r="K727" s="12"/>
      <c r="L727" s="12"/>
      <c r="M727" s="12"/>
    </row>
    <row r="728" spans="1:13" ht="15.75" customHeight="1">
      <c r="A728" s="73"/>
      <c r="B728" s="64"/>
      <c r="C728" s="62"/>
      <c r="D728" s="58"/>
      <c r="E728" s="63"/>
      <c r="F728" s="61"/>
      <c r="G728" s="62"/>
      <c r="H728" s="12"/>
      <c r="I728" s="12"/>
      <c r="J728" s="12"/>
      <c r="K728" s="12"/>
      <c r="L728" s="12"/>
      <c r="M728" s="12"/>
    </row>
    <row r="729" spans="1:13" ht="15.75" customHeight="1">
      <c r="A729" s="73"/>
      <c r="B729" s="12"/>
      <c r="C729" s="64"/>
      <c r="D729" s="73"/>
      <c r="E729" s="63"/>
      <c r="F729" s="61"/>
      <c r="G729" s="62"/>
      <c r="H729" s="12"/>
      <c r="I729" s="12"/>
      <c r="J729" s="12"/>
      <c r="K729" s="12"/>
      <c r="L729" s="12"/>
      <c r="M729" s="12"/>
    </row>
    <row r="730" spans="1:13" ht="15.75" customHeight="1">
      <c r="A730" s="73"/>
      <c r="B730" s="12"/>
      <c r="C730" s="64"/>
      <c r="D730" s="62"/>
      <c r="E730" s="63"/>
      <c r="F730" s="61"/>
      <c r="G730" s="62"/>
      <c r="H730" s="12"/>
      <c r="I730" s="12"/>
      <c r="J730" s="12"/>
      <c r="K730" s="12"/>
      <c r="L730" s="12"/>
      <c r="M730" s="12"/>
    </row>
    <row r="731" spans="1:13" ht="15.75" customHeight="1">
      <c r="A731" s="73"/>
      <c r="B731" s="12"/>
      <c r="C731" s="64"/>
      <c r="D731" s="62"/>
      <c r="E731" s="12"/>
      <c r="F731" s="63"/>
      <c r="G731" s="12"/>
      <c r="H731" s="61"/>
      <c r="I731" s="62"/>
      <c r="J731" s="12"/>
      <c r="K731" s="12"/>
      <c r="L731" s="12"/>
      <c r="M731" s="12"/>
    </row>
    <row r="732" spans="1:13" ht="15.75" customHeight="1">
      <c r="A732" s="73"/>
      <c r="B732" s="12"/>
      <c r="C732" s="64"/>
      <c r="D732" s="62"/>
      <c r="E732" s="63"/>
      <c r="F732" s="61"/>
      <c r="G732" s="62"/>
      <c r="H732" s="12"/>
      <c r="I732" s="12"/>
      <c r="J732" s="12"/>
      <c r="K732" s="12"/>
      <c r="L732" s="12"/>
      <c r="M732" s="12"/>
    </row>
    <row r="733" spans="1:13" ht="15.75" customHeight="1">
      <c r="A733" s="73"/>
      <c r="B733" s="12"/>
      <c r="C733" s="64"/>
      <c r="D733" s="62"/>
      <c r="E733" s="63"/>
      <c r="F733" s="61"/>
      <c r="G733" s="62"/>
      <c r="H733" s="12"/>
      <c r="I733" s="12"/>
      <c r="J733" s="12"/>
      <c r="K733" s="12"/>
      <c r="L733" s="12"/>
      <c r="M733" s="12"/>
    </row>
    <row r="734" spans="1:13" ht="15.75" customHeight="1">
      <c r="A734" s="60"/>
      <c r="B734" s="64"/>
      <c r="C734" s="62"/>
      <c r="D734" s="58"/>
      <c r="E734" s="63"/>
      <c r="F734" s="61"/>
      <c r="G734" s="62"/>
      <c r="H734" s="12"/>
      <c r="I734" s="12"/>
      <c r="J734" s="12"/>
      <c r="K734" s="12"/>
      <c r="L734" s="12"/>
      <c r="M734" s="12"/>
    </row>
    <row r="735" spans="1:13" ht="15.75" customHeight="1">
      <c r="A735" s="65"/>
      <c r="B735" s="65"/>
      <c r="C735" s="65"/>
      <c r="D735" s="65"/>
      <c r="E735" s="65"/>
      <c r="F735" s="65"/>
      <c r="G735" s="55"/>
      <c r="H735" s="12"/>
      <c r="I735" s="12"/>
      <c r="J735" s="12"/>
      <c r="K735" s="12"/>
      <c r="L735" s="12"/>
      <c r="M735" s="12"/>
    </row>
    <row r="736" spans="1:13" ht="15.75" customHeight="1">
      <c r="A736" s="65"/>
      <c r="B736" s="65"/>
      <c r="C736" s="65"/>
      <c r="D736" s="65"/>
      <c r="E736" s="65"/>
      <c r="F736" s="65"/>
      <c r="G736" s="55"/>
      <c r="H736" s="12"/>
      <c r="I736" s="12"/>
      <c r="J736" s="12"/>
      <c r="K736" s="12"/>
      <c r="L736" s="12"/>
      <c r="M736" s="12"/>
    </row>
    <row r="737" spans="1:13" ht="15.75" customHeight="1">
      <c r="A737" s="66"/>
      <c r="B737" s="27"/>
      <c r="C737" s="28"/>
      <c r="D737" s="27"/>
      <c r="E737" s="68"/>
      <c r="F737" s="13"/>
      <c r="G737" s="62"/>
      <c r="H737" s="12"/>
      <c r="I737" s="12"/>
      <c r="J737" s="12"/>
      <c r="K737" s="12"/>
      <c r="L737" s="12"/>
      <c r="M737" s="12"/>
    </row>
    <row r="738" spans="1:13" ht="15.75" customHeight="1">
      <c r="A738" s="69"/>
      <c r="B738" s="28"/>
      <c r="C738" s="28"/>
      <c r="D738" s="28"/>
      <c r="E738" s="28"/>
      <c r="F738" s="28"/>
      <c r="G738" s="28"/>
      <c r="H738" s="12"/>
      <c r="I738" s="12"/>
      <c r="J738" s="12"/>
      <c r="K738" s="12"/>
      <c r="L738" s="12"/>
      <c r="M738" s="12"/>
    </row>
    <row r="739" spans="1:13" ht="15.75" customHeight="1">
      <c r="A739" s="66"/>
      <c r="B739" s="13"/>
      <c r="C739" s="28"/>
      <c r="D739" s="28"/>
      <c r="E739" s="12"/>
      <c r="F739" s="12"/>
      <c r="G739" s="13"/>
      <c r="H739" s="14"/>
      <c r="I739" s="12"/>
      <c r="J739" s="12"/>
      <c r="K739" s="12"/>
      <c r="L739" s="12"/>
      <c r="M739" s="12"/>
    </row>
    <row r="740" spans="1:13" ht="15.75" customHeight="1">
      <c r="A740" s="69"/>
      <c r="B740" s="28"/>
      <c r="C740" s="28"/>
      <c r="D740" s="28"/>
      <c r="E740" s="28"/>
      <c r="F740" s="28"/>
      <c r="G740" s="28"/>
      <c r="H740" s="12"/>
      <c r="I740" s="12"/>
      <c r="J740" s="12"/>
      <c r="K740" s="12"/>
      <c r="L740" s="12"/>
      <c r="M740" s="12"/>
    </row>
    <row r="741" spans="1:13" ht="15.75" customHeight="1">
      <c r="A741" s="65"/>
      <c r="B741" s="28"/>
      <c r="C741" s="28"/>
      <c r="D741" s="28"/>
      <c r="E741" s="28"/>
      <c r="F741" s="28"/>
      <c r="G741" s="28"/>
      <c r="H741" s="12"/>
      <c r="I741" s="12"/>
      <c r="J741" s="12"/>
      <c r="K741" s="12"/>
      <c r="L741" s="12"/>
      <c r="M741" s="12"/>
    </row>
    <row r="742" spans="1:13" ht="15.75" customHeight="1">
      <c r="A742" s="28"/>
      <c r="B742" s="28"/>
      <c r="C742" s="28"/>
      <c r="D742" s="28"/>
      <c r="E742" s="28"/>
      <c r="F742" s="28"/>
      <c r="G742" s="28"/>
      <c r="H742" s="12"/>
      <c r="I742" s="12"/>
      <c r="J742" s="12"/>
      <c r="K742" s="12"/>
      <c r="L742" s="12"/>
      <c r="M742" s="12"/>
    </row>
    <row r="743" spans="1:13" ht="15.75" customHeight="1">
      <c r="A743" s="14"/>
      <c r="B743" s="12"/>
      <c r="C743" s="12"/>
      <c r="D743" s="28"/>
      <c r="E743" s="12"/>
      <c r="F743" s="12"/>
      <c r="G743" s="28"/>
      <c r="H743" s="12"/>
      <c r="I743" s="12"/>
      <c r="J743" s="12"/>
      <c r="K743" s="12"/>
      <c r="L743" s="12"/>
      <c r="M743" s="12"/>
    </row>
    <row r="744" spans="1:13" ht="15.75" customHeight="1">
      <c r="A744" s="28"/>
      <c r="B744" s="28"/>
      <c r="C744" s="28"/>
      <c r="D744" s="28"/>
      <c r="E744" s="28"/>
      <c r="F744" s="28"/>
      <c r="G744" s="28"/>
      <c r="H744" s="12"/>
      <c r="I744" s="12"/>
      <c r="J744" s="12"/>
      <c r="K744" s="12"/>
      <c r="L744" s="12"/>
      <c r="M744" s="12"/>
    </row>
    <row r="745" spans="1:13" ht="15.75" customHeight="1">
      <c r="A745" s="14"/>
      <c r="B745" s="12"/>
      <c r="C745" s="76"/>
      <c r="D745" s="82"/>
      <c r="E745" s="83"/>
      <c r="F745" s="82"/>
      <c r="G745" s="28"/>
      <c r="H745" s="12"/>
      <c r="I745" s="12"/>
      <c r="J745" s="12"/>
      <c r="K745" s="12"/>
      <c r="L745" s="12"/>
      <c r="M745" s="12"/>
    </row>
    <row r="746" spans="1:13" ht="15.75" customHeight="1">
      <c r="A746" s="26"/>
      <c r="B746" s="26"/>
      <c r="C746" s="26"/>
      <c r="D746" s="26"/>
      <c r="E746" s="26"/>
      <c r="F746" s="26"/>
      <c r="G746" s="12"/>
      <c r="H746" s="12"/>
      <c r="I746" s="12"/>
      <c r="J746" s="12"/>
      <c r="K746" s="12"/>
      <c r="L746" s="12"/>
      <c r="M746" s="12"/>
    </row>
    <row r="747" spans="1:13" ht="15.75" customHeight="1">
      <c r="A747" s="26"/>
      <c r="B747" s="26"/>
      <c r="C747" s="26"/>
      <c r="D747" s="26"/>
      <c r="E747" s="26"/>
      <c r="F747" s="26"/>
      <c r="G747" s="12"/>
      <c r="H747" s="12"/>
      <c r="I747" s="12"/>
      <c r="J747" s="12"/>
      <c r="K747" s="12"/>
      <c r="L747" s="12"/>
      <c r="M747" s="12"/>
    </row>
    <row r="748" spans="1:13" ht="15.75" customHeight="1">
      <c r="A748" s="26"/>
      <c r="B748" s="26"/>
      <c r="C748" s="26"/>
      <c r="D748" s="26"/>
      <c r="E748" s="26"/>
      <c r="F748" s="26"/>
      <c r="G748" s="12"/>
      <c r="H748" s="12"/>
      <c r="I748" s="12"/>
      <c r="J748" s="12"/>
      <c r="K748" s="12"/>
      <c r="L748" s="12"/>
      <c r="M748" s="12"/>
    </row>
    <row r="749" spans="1:13" ht="15.75" customHeight="1">
      <c r="A749" s="26"/>
      <c r="B749" s="26"/>
      <c r="C749" s="26"/>
      <c r="D749" s="26"/>
      <c r="E749" s="26"/>
      <c r="F749" s="26"/>
      <c r="G749" s="12"/>
      <c r="H749" s="12"/>
      <c r="I749" s="12"/>
      <c r="J749" s="12"/>
      <c r="K749" s="12"/>
      <c r="L749" s="12"/>
      <c r="M749" s="12"/>
    </row>
    <row r="750" spans="1:13" ht="15.75" customHeight="1">
      <c r="A750" s="26"/>
      <c r="B750" s="26"/>
      <c r="C750" s="26"/>
      <c r="D750" s="26"/>
      <c r="E750" s="26"/>
      <c r="F750" s="26"/>
      <c r="G750" s="12"/>
      <c r="H750" s="12"/>
      <c r="I750" s="12"/>
      <c r="J750" s="12"/>
      <c r="K750" s="12"/>
      <c r="L750" s="12"/>
      <c r="M750" s="12"/>
    </row>
    <row r="751" spans="1:13" ht="15.75" customHeight="1">
      <c r="A751" s="26"/>
      <c r="B751" s="26"/>
      <c r="C751" s="26"/>
      <c r="D751" s="26"/>
      <c r="E751" s="26"/>
      <c r="F751" s="26"/>
      <c r="G751" s="12"/>
      <c r="H751" s="12"/>
      <c r="I751" s="12"/>
      <c r="J751" s="12"/>
      <c r="K751" s="12"/>
      <c r="L751" s="12"/>
      <c r="M751" s="12"/>
    </row>
    <row r="752" spans="1:13" ht="12.75">
      <c r="A752" s="26"/>
      <c r="B752" s="26"/>
      <c r="C752" s="26"/>
      <c r="D752" s="26"/>
      <c r="E752" s="26"/>
      <c r="F752" s="26"/>
      <c r="G752" s="12"/>
      <c r="H752" s="12"/>
      <c r="I752" s="12"/>
      <c r="J752" s="12"/>
      <c r="K752" s="12"/>
      <c r="L752" s="12"/>
      <c r="M752" s="12"/>
    </row>
    <row r="753" spans="1:13" ht="12.75">
      <c r="A753" s="26"/>
      <c r="B753" s="26"/>
      <c r="C753" s="26"/>
      <c r="D753" s="26"/>
      <c r="E753" s="26"/>
      <c r="F753" s="26"/>
      <c r="G753" s="12"/>
      <c r="H753" s="12"/>
      <c r="I753" s="12"/>
      <c r="J753" s="12"/>
      <c r="K753" s="12"/>
      <c r="L753" s="12"/>
      <c r="M753" s="12"/>
    </row>
    <row r="754" spans="1:13" ht="12.75">
      <c r="A754" s="26"/>
      <c r="B754" s="26"/>
      <c r="C754" s="26"/>
      <c r="D754" s="26"/>
      <c r="E754" s="26"/>
      <c r="F754" s="26"/>
      <c r="G754" s="12"/>
      <c r="H754" s="12"/>
      <c r="I754" s="12"/>
      <c r="J754" s="12"/>
      <c r="K754" s="12"/>
      <c r="L754" s="12"/>
      <c r="M754" s="12"/>
    </row>
    <row r="755" spans="1:13" ht="12.75">
      <c r="A755" s="26"/>
      <c r="B755" s="26"/>
      <c r="C755" s="26"/>
      <c r="D755" s="26"/>
      <c r="E755" s="26"/>
      <c r="F755" s="26"/>
      <c r="G755" s="12"/>
      <c r="H755" s="12"/>
      <c r="I755" s="12"/>
      <c r="J755" s="12"/>
      <c r="K755" s="12"/>
      <c r="L755" s="12"/>
      <c r="M755" s="12"/>
    </row>
    <row r="756" spans="1:13" ht="12.75">
      <c r="A756" s="26"/>
      <c r="B756" s="26"/>
      <c r="C756" s="26"/>
      <c r="D756" s="26"/>
      <c r="E756" s="26"/>
      <c r="F756" s="26"/>
      <c r="G756" s="12"/>
      <c r="H756" s="12"/>
      <c r="I756" s="12"/>
      <c r="J756" s="12"/>
      <c r="K756" s="12"/>
      <c r="L756" s="12"/>
      <c r="M756" s="12"/>
    </row>
    <row r="757" spans="1:13" ht="12.75">
      <c r="A757" s="26"/>
      <c r="B757" s="26"/>
      <c r="C757" s="26"/>
      <c r="D757" s="26"/>
      <c r="E757" s="26"/>
      <c r="F757" s="26"/>
      <c r="G757" s="12"/>
      <c r="H757" s="12"/>
      <c r="I757" s="12"/>
      <c r="J757" s="12"/>
      <c r="K757" s="12"/>
      <c r="L757" s="12"/>
      <c r="M757" s="12"/>
    </row>
    <row r="758" spans="1:13" ht="12.75">
      <c r="A758" s="26"/>
      <c r="B758" s="26"/>
      <c r="C758" s="26"/>
      <c r="D758" s="26"/>
      <c r="E758" s="26"/>
      <c r="F758" s="26"/>
      <c r="G758" s="12"/>
      <c r="H758" s="12"/>
      <c r="I758" s="12"/>
      <c r="J758" s="12"/>
      <c r="K758" s="12"/>
      <c r="L758" s="12"/>
      <c r="M758" s="12"/>
    </row>
    <row r="759" spans="1:13" ht="12.75">
      <c r="A759" s="26"/>
      <c r="B759" s="26"/>
      <c r="C759" s="26"/>
      <c r="D759" s="26"/>
      <c r="E759" s="26"/>
      <c r="F759" s="26"/>
      <c r="G759" s="12"/>
      <c r="H759" s="12"/>
      <c r="I759" s="12"/>
      <c r="J759" s="12"/>
      <c r="K759" s="12"/>
      <c r="L759" s="12"/>
      <c r="M759" s="12"/>
    </row>
    <row r="760" spans="1:13" ht="12.75">
      <c r="A760" s="26"/>
      <c r="B760" s="26"/>
      <c r="C760" s="26"/>
      <c r="D760" s="26"/>
      <c r="E760" s="26"/>
      <c r="F760" s="26"/>
      <c r="G760" s="12"/>
      <c r="H760" s="12"/>
      <c r="I760" s="12"/>
      <c r="J760" s="12"/>
      <c r="K760" s="12"/>
      <c r="L760" s="12"/>
      <c r="M760" s="12"/>
    </row>
    <row r="761" spans="1:13" ht="12.75">
      <c r="A761" s="26"/>
      <c r="B761" s="26"/>
      <c r="C761" s="26"/>
      <c r="D761" s="26"/>
      <c r="E761" s="26"/>
      <c r="F761" s="26"/>
      <c r="G761" s="12"/>
      <c r="H761" s="12"/>
      <c r="I761" s="12"/>
      <c r="J761" s="12"/>
      <c r="K761" s="12"/>
      <c r="L761" s="12"/>
      <c r="M761" s="12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 s="26"/>
      <c r="B767" s="26"/>
      <c r="C767" s="26"/>
      <c r="D767" s="26"/>
      <c r="E767" s="26"/>
      <c r="F767"/>
    </row>
    <row r="768" spans="1:6" ht="12.75">
      <c r="A768" s="26"/>
      <c r="B768" s="26"/>
      <c r="C768" s="26"/>
      <c r="D768" s="26"/>
      <c r="E768" s="26"/>
      <c r="F768"/>
    </row>
    <row r="769" spans="1:6" ht="12.75">
      <c r="A769" s="26"/>
      <c r="B769" s="26"/>
      <c r="C769" s="26"/>
      <c r="D769" s="26"/>
      <c r="E769" s="26"/>
      <c r="F769"/>
    </row>
    <row r="770" spans="1:6" ht="12.75">
      <c r="A770" s="26"/>
      <c r="B770" s="26"/>
      <c r="C770" s="26"/>
      <c r="D770" s="26"/>
      <c r="E770" s="26"/>
      <c r="F770"/>
    </row>
    <row r="771" spans="1:6" ht="12.75">
      <c r="A771" s="26"/>
      <c r="B771" s="26"/>
      <c r="C771" s="26"/>
      <c r="D771" s="26"/>
      <c r="E771" s="26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</sheetData>
  <sheetProtection password="DD5B" sheet="1" objects="1" scenarios="1"/>
  <printOptions horizontalCentered="1"/>
  <pageMargins left="0" right="0" top="0" bottom="0" header="0.5118110236220472" footer="0.5118110236220472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4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5.75" customHeight="1"/>
  <cols>
    <col min="1" max="1" width="12.00390625" style="120" customWidth="1"/>
    <col min="2" max="3" width="8.7109375" style="120" customWidth="1"/>
    <col min="4" max="4" width="11.00390625" style="120" customWidth="1"/>
    <col min="5" max="10" width="8.7109375" style="120" customWidth="1"/>
    <col min="11" max="11" width="9.7109375" style="120" customWidth="1"/>
    <col min="12" max="12" width="8.7109375" style="120" customWidth="1"/>
    <col min="13" max="16384" width="9.140625" style="120" customWidth="1"/>
  </cols>
  <sheetData>
    <row r="1" spans="1:12" ht="15.75" customHeight="1">
      <c r="A1" s="339" t="s">
        <v>2046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6" customHeight="1">
      <c r="A2" s="5"/>
    </row>
    <row r="3" ht="15.75" customHeight="1">
      <c r="A3" s="5" t="s">
        <v>112</v>
      </c>
    </row>
    <row r="4" ht="6" customHeight="1"/>
    <row r="5" spans="1:9" ht="15.75" customHeight="1">
      <c r="A5" s="2" t="s">
        <v>2281</v>
      </c>
      <c r="B5" s="1">
        <v>7354</v>
      </c>
      <c r="C5" s="4" t="s">
        <v>713</v>
      </c>
      <c r="D5" s="1" t="s">
        <v>1763</v>
      </c>
      <c r="E5" s="3">
        <v>2.6</v>
      </c>
      <c r="F5" s="22" t="s">
        <v>699</v>
      </c>
      <c r="G5" s="2" t="s">
        <v>2515</v>
      </c>
      <c r="H5" s="3">
        <v>0.25</v>
      </c>
      <c r="I5" s="22" t="s">
        <v>699</v>
      </c>
    </row>
    <row r="6" spans="1:9" ht="15.75" customHeight="1">
      <c r="A6" s="2" t="s">
        <v>2282</v>
      </c>
      <c r="B6" s="1">
        <v>9022</v>
      </c>
      <c r="C6" s="4" t="s">
        <v>713</v>
      </c>
      <c r="D6" s="1" t="s">
        <v>712</v>
      </c>
      <c r="E6" s="3">
        <v>5</v>
      </c>
      <c r="F6" s="22" t="s">
        <v>699</v>
      </c>
      <c r="G6" s="2" t="s">
        <v>2516</v>
      </c>
      <c r="H6" s="3">
        <v>0.1</v>
      </c>
      <c r="I6" s="22" t="s">
        <v>699</v>
      </c>
    </row>
    <row r="7" spans="1:12" ht="15.75" customHeight="1">
      <c r="A7" s="2" t="s">
        <v>2047</v>
      </c>
      <c r="B7" s="1">
        <v>12356</v>
      </c>
      <c r="C7" s="4" t="s">
        <v>713</v>
      </c>
      <c r="D7" s="1" t="s">
        <v>2048</v>
      </c>
      <c r="E7" s="3">
        <v>0.7</v>
      </c>
      <c r="F7" s="22" t="s">
        <v>699</v>
      </c>
      <c r="G7" s="1" t="s">
        <v>2297</v>
      </c>
      <c r="H7" s="3">
        <v>1.6</v>
      </c>
      <c r="I7" s="22" t="s">
        <v>699</v>
      </c>
      <c r="J7" s="1"/>
      <c r="K7" s="1"/>
      <c r="L7" s="1"/>
    </row>
    <row r="8" spans="1:12" ht="15.75" customHeight="1">
      <c r="A8" s="2" t="s">
        <v>2277</v>
      </c>
      <c r="B8" s="1">
        <v>133362</v>
      </c>
      <c r="C8" s="4" t="s">
        <v>713</v>
      </c>
      <c r="D8" s="1" t="s">
        <v>2049</v>
      </c>
      <c r="E8" s="3">
        <v>1.5</v>
      </c>
      <c r="F8" s="22" t="s">
        <v>699</v>
      </c>
      <c r="G8" s="1" t="s">
        <v>711</v>
      </c>
      <c r="H8" s="3">
        <v>7</v>
      </c>
      <c r="I8" s="22" t="s">
        <v>699</v>
      </c>
      <c r="J8" s="1"/>
      <c r="K8" s="3"/>
      <c r="L8" s="4"/>
    </row>
    <row r="9" spans="1:12" ht="6" customHeight="1">
      <c r="A9" s="2"/>
      <c r="B9" s="1"/>
      <c r="C9" s="4"/>
      <c r="D9" s="1"/>
      <c r="E9" s="3"/>
      <c r="F9" s="22"/>
      <c r="G9" s="1"/>
      <c r="H9" s="1"/>
      <c r="I9" s="1"/>
      <c r="J9" s="1"/>
      <c r="K9" s="3"/>
      <c r="L9" s="4"/>
    </row>
    <row r="10" spans="1:12" ht="15.75" customHeight="1">
      <c r="A10" s="5" t="s">
        <v>1236</v>
      </c>
      <c r="B10" s="1"/>
      <c r="C10" s="4"/>
      <c r="D10" s="1"/>
      <c r="E10" s="3"/>
      <c r="F10" s="22"/>
      <c r="G10" s="1"/>
      <c r="H10" s="1"/>
      <c r="I10" s="1"/>
      <c r="J10" s="1"/>
      <c r="K10" s="3"/>
      <c r="L10" s="4"/>
    </row>
    <row r="11" spans="1:12" ht="6" customHeight="1">
      <c r="A11" s="1"/>
      <c r="B11" s="1"/>
      <c r="C11" s="4"/>
      <c r="D11" s="1"/>
      <c r="E11" s="3"/>
      <c r="F11" s="22"/>
      <c r="G11" s="1"/>
      <c r="H11" s="1"/>
      <c r="I11" s="1"/>
      <c r="J11" s="1"/>
      <c r="K11" s="3"/>
      <c r="L11" s="4"/>
    </row>
    <row r="12" spans="1:12" ht="15.75" customHeight="1">
      <c r="A12" s="5" t="s">
        <v>113</v>
      </c>
      <c r="B12" s="1"/>
      <c r="C12" s="4"/>
      <c r="D12" s="1"/>
      <c r="E12" s="3"/>
      <c r="F12" s="22"/>
      <c r="G12" s="1"/>
      <c r="H12" s="1"/>
      <c r="I12" s="1"/>
      <c r="J12" s="1"/>
      <c r="K12" s="3"/>
      <c r="L12" s="4"/>
    </row>
    <row r="13" spans="1:12" ht="6" customHeight="1">
      <c r="A13" s="4"/>
      <c r="B13" s="1"/>
      <c r="C13" s="4"/>
      <c r="D13" s="1"/>
      <c r="E13" s="3"/>
      <c r="F13" s="22"/>
      <c r="G13" s="1"/>
      <c r="H13" s="1"/>
      <c r="I13" s="1"/>
      <c r="J13" s="1"/>
      <c r="K13" s="3"/>
      <c r="L13" s="4"/>
    </row>
    <row r="14" spans="1:12" ht="15.75" customHeight="1">
      <c r="A14" s="4" t="s">
        <v>1232</v>
      </c>
      <c r="B14" s="1"/>
      <c r="C14" s="4"/>
      <c r="D14" s="1"/>
      <c r="E14" s="3"/>
      <c r="F14" s="22"/>
      <c r="G14" s="1"/>
      <c r="H14" s="1"/>
      <c r="I14" s="1"/>
      <c r="J14" s="1"/>
      <c r="K14" s="3"/>
      <c r="L14" s="4"/>
    </row>
    <row r="15" spans="1:12" ht="15.75" customHeight="1">
      <c r="A15" s="120" t="s">
        <v>1233</v>
      </c>
      <c r="B15" s="1"/>
      <c r="C15" s="4"/>
      <c r="D15" s="1"/>
      <c r="E15" s="3"/>
      <c r="F15" s="22"/>
      <c r="G15" s="1"/>
      <c r="H15" s="1"/>
      <c r="I15" s="1"/>
      <c r="J15" s="1"/>
      <c r="K15" s="3"/>
      <c r="L15" s="4"/>
    </row>
    <row r="16" spans="1:12" ht="15.75" customHeight="1">
      <c r="A16" s="120" t="s">
        <v>1235</v>
      </c>
      <c r="B16" s="1"/>
      <c r="C16" s="4"/>
      <c r="D16" s="1"/>
      <c r="E16" s="3"/>
      <c r="F16" s="22"/>
      <c r="G16" s="1"/>
      <c r="H16" s="1"/>
      <c r="I16" s="1"/>
      <c r="J16" s="1"/>
      <c r="K16" s="3"/>
      <c r="L16" s="4"/>
    </row>
    <row r="17" spans="1:12" ht="15.75" customHeight="1">
      <c r="A17" s="120" t="s">
        <v>1234</v>
      </c>
      <c r="B17" s="1"/>
      <c r="C17" s="4"/>
      <c r="D17" s="1"/>
      <c r="E17" s="3"/>
      <c r="F17" s="22"/>
      <c r="G17" s="1"/>
      <c r="H17" s="1"/>
      <c r="I17" s="1"/>
      <c r="J17" s="1"/>
      <c r="K17" s="3"/>
      <c r="L17" s="4"/>
    </row>
    <row r="18" spans="2:12" ht="6" customHeight="1">
      <c r="B18" s="1"/>
      <c r="C18" s="4"/>
      <c r="D18" s="1"/>
      <c r="E18" s="3"/>
      <c r="F18" s="22"/>
      <c r="G18" s="1"/>
      <c r="H18" s="1"/>
      <c r="I18" s="1"/>
      <c r="J18" s="1"/>
      <c r="K18" s="3"/>
      <c r="L18" s="4"/>
    </row>
    <row r="19" spans="1:12" ht="15.75" customHeight="1">
      <c r="A19" s="1" t="s">
        <v>2241</v>
      </c>
      <c r="B19" s="6">
        <f>+B8*H5</f>
        <v>33340.5</v>
      </c>
      <c r="C19" s="69" t="s">
        <v>700</v>
      </c>
      <c r="D19" s="1"/>
      <c r="E19" s="4" t="s">
        <v>1827</v>
      </c>
      <c r="F19" s="22"/>
      <c r="G19" s="3">
        <f>+B19/B7</f>
        <v>2.69832470055034</v>
      </c>
      <c r="H19" s="66" t="s">
        <v>699</v>
      </c>
      <c r="I19" s="1"/>
      <c r="J19" s="1"/>
      <c r="K19" s="3"/>
      <c r="L19" s="4"/>
    </row>
    <row r="20" spans="1:12" ht="6" customHeight="1">
      <c r="A20" s="4"/>
      <c r="B20" s="1"/>
      <c r="C20" s="4"/>
      <c r="D20" s="1"/>
      <c r="E20" s="3"/>
      <c r="F20" s="22"/>
      <c r="G20" s="1"/>
      <c r="H20" s="1"/>
      <c r="I20" s="1"/>
      <c r="J20" s="1"/>
      <c r="K20" s="3"/>
      <c r="L20" s="4"/>
    </row>
    <row r="21" spans="1:12" ht="15.75" customHeight="1">
      <c r="A21" s="4" t="s">
        <v>2240</v>
      </c>
      <c r="B21" s="1"/>
      <c r="C21" s="4"/>
      <c r="D21" s="1"/>
      <c r="E21" s="3"/>
      <c r="F21" s="22"/>
      <c r="G21" s="1"/>
      <c r="H21" s="1"/>
      <c r="I21" s="1"/>
      <c r="J21" s="1"/>
      <c r="K21" s="3"/>
      <c r="L21" s="4"/>
    </row>
    <row r="22" spans="1:12" ht="6" customHeight="1">
      <c r="A22" s="4"/>
      <c r="B22" s="1"/>
      <c r="C22" s="4"/>
      <c r="D22" s="1"/>
      <c r="E22" s="3"/>
      <c r="F22" s="22"/>
      <c r="G22" s="1"/>
      <c r="H22" s="1"/>
      <c r="I22" s="1"/>
      <c r="J22" s="1"/>
      <c r="K22" s="3"/>
      <c r="L22" s="4"/>
    </row>
    <row r="23" spans="1:12" ht="15.75" customHeight="1">
      <c r="A23" s="1" t="s">
        <v>2243</v>
      </c>
      <c r="B23" s="3">
        <f>+G19-E8</f>
        <v>1.19832470055034</v>
      </c>
      <c r="C23" s="66" t="s">
        <v>699</v>
      </c>
      <c r="D23" s="92" t="s">
        <v>1823</v>
      </c>
      <c r="F23" s="22"/>
      <c r="G23" s="1"/>
      <c r="H23" s="1"/>
      <c r="J23" s="1"/>
      <c r="K23" s="3"/>
      <c r="L23" s="4"/>
    </row>
    <row r="24" spans="1:12" ht="6" customHeight="1">
      <c r="A24" s="4"/>
      <c r="B24" s="1"/>
      <c r="C24" s="4"/>
      <c r="D24" s="1"/>
      <c r="E24" s="3"/>
      <c r="F24" s="22"/>
      <c r="G24" s="1"/>
      <c r="H24" s="1"/>
      <c r="I24" s="1"/>
      <c r="J24" s="1"/>
      <c r="K24" s="3"/>
      <c r="L24" s="4"/>
    </row>
    <row r="25" spans="1:12" ht="15.75" customHeight="1">
      <c r="A25" s="4" t="s">
        <v>2244</v>
      </c>
      <c r="B25" s="1"/>
      <c r="C25" s="6">
        <f>+B7*B23</f>
        <v>14806.5</v>
      </c>
      <c r="D25" s="66" t="s">
        <v>700</v>
      </c>
      <c r="E25" s="3"/>
      <c r="F25" s="22"/>
      <c r="G25" s="1"/>
      <c r="H25" s="1"/>
      <c r="I25" s="1"/>
      <c r="J25" s="1"/>
      <c r="K25" s="3"/>
      <c r="L25" s="4"/>
    </row>
    <row r="26" spans="1:12" ht="6" customHeight="1">
      <c r="A26" s="4"/>
      <c r="B26" s="1"/>
      <c r="C26" s="4"/>
      <c r="D26" s="1"/>
      <c r="E26" s="3"/>
      <c r="F26" s="22"/>
      <c r="G26" s="1"/>
      <c r="H26" s="1"/>
      <c r="I26" s="1"/>
      <c r="J26" s="1"/>
      <c r="K26" s="3"/>
      <c r="L26" s="4"/>
    </row>
    <row r="27" spans="1:12" ht="15.75" customHeight="1">
      <c r="A27" s="4" t="s">
        <v>1237</v>
      </c>
      <c r="B27" s="1"/>
      <c r="C27" s="4"/>
      <c r="D27" s="1"/>
      <c r="E27" s="3"/>
      <c r="F27" s="22"/>
      <c r="G27" s="1"/>
      <c r="H27" s="1"/>
      <c r="I27" s="1"/>
      <c r="J27" s="1"/>
      <c r="K27" s="3"/>
      <c r="L27" s="4"/>
    </row>
    <row r="28" spans="1:12" ht="15.75" customHeight="1">
      <c r="A28" s="4" t="s">
        <v>1238</v>
      </c>
      <c r="B28" s="1"/>
      <c r="C28" s="4"/>
      <c r="D28" s="1"/>
      <c r="E28" s="3"/>
      <c r="F28" s="22"/>
      <c r="G28" s="1"/>
      <c r="H28" s="1"/>
      <c r="I28" s="1"/>
      <c r="J28" s="1"/>
      <c r="K28" s="3"/>
      <c r="L28" s="4"/>
    </row>
    <row r="29" spans="2:12" ht="6" customHeight="1">
      <c r="B29" s="1"/>
      <c r="C29" s="4"/>
      <c r="D29" s="1"/>
      <c r="E29" s="3"/>
      <c r="F29" s="22"/>
      <c r="G29" s="1"/>
      <c r="H29" s="1"/>
      <c r="I29" s="1"/>
      <c r="J29" s="1"/>
      <c r="K29" s="3"/>
      <c r="L29" s="4"/>
    </row>
    <row r="30" spans="1:12" ht="15.75" customHeight="1">
      <c r="A30" s="4" t="s">
        <v>1824</v>
      </c>
      <c r="B30" s="1"/>
      <c r="C30" s="4"/>
      <c r="D30" s="6">
        <f>+C25+B8*H6</f>
        <v>28142.7</v>
      </c>
      <c r="E30" s="66" t="s">
        <v>700</v>
      </c>
      <c r="F30" s="22" t="s">
        <v>1825</v>
      </c>
      <c r="H30" s="1"/>
      <c r="I30" s="1"/>
      <c r="K30" s="3"/>
      <c r="L30" s="4"/>
    </row>
    <row r="31" spans="1:12" ht="6" customHeight="1">
      <c r="A31" s="4"/>
      <c r="B31" s="1"/>
      <c r="C31" s="4"/>
      <c r="D31" s="6"/>
      <c r="E31" s="66"/>
      <c r="F31" s="22"/>
      <c r="G31" s="1"/>
      <c r="H31" s="1"/>
      <c r="I31" s="1"/>
      <c r="J31" s="1"/>
      <c r="K31" s="3"/>
      <c r="L31" s="4"/>
    </row>
    <row r="32" spans="1:12" ht="15.75" customHeight="1">
      <c r="A32" s="1" t="s">
        <v>1826</v>
      </c>
      <c r="B32" s="3">
        <f>+D30/B5</f>
        <v>3.826856132716889</v>
      </c>
      <c r="C32" s="66" t="s">
        <v>699</v>
      </c>
      <c r="D32" s="342" t="s">
        <v>1828</v>
      </c>
      <c r="E32" s="66"/>
      <c r="F32" s="22"/>
      <c r="G32" s="1"/>
      <c r="H32" s="1"/>
      <c r="I32" s="1"/>
      <c r="J32" s="1"/>
      <c r="K32" s="3"/>
      <c r="L32" s="4"/>
    </row>
    <row r="33" spans="1:12" ht="6" customHeight="1">
      <c r="A33" s="4"/>
      <c r="B33" s="1"/>
      <c r="C33" s="4"/>
      <c r="D33" s="6"/>
      <c r="E33" s="66"/>
      <c r="F33" s="22"/>
      <c r="G33" s="1"/>
      <c r="H33" s="1"/>
      <c r="I33" s="1"/>
      <c r="J33" s="1"/>
      <c r="K33" s="3"/>
      <c r="L33" s="4"/>
    </row>
    <row r="34" spans="1:12" ht="15.75" customHeight="1">
      <c r="A34" s="4" t="s">
        <v>1829</v>
      </c>
      <c r="B34" s="1"/>
      <c r="C34" s="4"/>
      <c r="D34" s="6"/>
      <c r="E34" s="66"/>
      <c r="F34" s="22"/>
      <c r="G34" s="1"/>
      <c r="H34" s="1"/>
      <c r="I34" s="1"/>
      <c r="J34" s="1"/>
      <c r="K34" s="3"/>
      <c r="L34" s="4"/>
    </row>
    <row r="35" spans="1:12" ht="6" customHeight="1">
      <c r="A35" s="4"/>
      <c r="B35" s="1"/>
      <c r="C35" s="4"/>
      <c r="D35" s="6"/>
      <c r="E35" s="66"/>
      <c r="F35" s="22"/>
      <c r="G35" s="1"/>
      <c r="H35" s="1"/>
      <c r="I35" s="1"/>
      <c r="J35" s="1"/>
      <c r="K35" s="3"/>
      <c r="L35" s="4"/>
    </row>
    <row r="36" spans="1:12" ht="15.75" customHeight="1">
      <c r="A36" s="4" t="s">
        <v>1830</v>
      </c>
      <c r="C36" s="3">
        <f>+B32+(E6-E5)</f>
        <v>6.226856132716889</v>
      </c>
      <c r="D36" s="66" t="s">
        <v>699</v>
      </c>
      <c r="E36" s="92" t="s">
        <v>1831</v>
      </c>
      <c r="F36" s="342"/>
      <c r="G36" s="1"/>
      <c r="H36" s="4" t="s">
        <v>1832</v>
      </c>
      <c r="I36" s="1"/>
      <c r="J36" s="6">
        <f>+B5*C36</f>
        <v>45792.3</v>
      </c>
      <c r="K36" s="92" t="s">
        <v>700</v>
      </c>
      <c r="L36" s="4"/>
    </row>
    <row r="37" spans="1:12" ht="6" customHeight="1">
      <c r="A37" s="4"/>
      <c r="B37" s="1"/>
      <c r="C37" s="4"/>
      <c r="D37" s="6"/>
      <c r="E37" s="66"/>
      <c r="F37" s="22"/>
      <c r="G37" s="1"/>
      <c r="H37" s="1"/>
      <c r="I37" s="1"/>
      <c r="J37" s="1"/>
      <c r="K37" s="3"/>
      <c r="L37" s="4"/>
    </row>
    <row r="38" spans="1:12" ht="15.75" customHeight="1">
      <c r="A38" s="120" t="s">
        <v>1833</v>
      </c>
      <c r="D38" s="1"/>
      <c r="E38" s="3"/>
      <c r="F38" s="22"/>
      <c r="G38" s="1"/>
      <c r="H38" s="1"/>
      <c r="I38" s="1"/>
      <c r="J38" s="1"/>
      <c r="K38" s="3"/>
      <c r="L38" s="4"/>
    </row>
    <row r="39" spans="1:12" ht="6" customHeight="1">
      <c r="A39" s="4"/>
      <c r="B39" s="1"/>
      <c r="C39" s="4"/>
      <c r="D39" s="1"/>
      <c r="E39" s="3"/>
      <c r="F39" s="22"/>
      <c r="G39" s="1"/>
      <c r="H39" s="1"/>
      <c r="I39" s="1"/>
      <c r="J39" s="1"/>
      <c r="K39" s="3"/>
      <c r="L39" s="4"/>
    </row>
    <row r="40" spans="1:12" ht="15.75" customHeight="1">
      <c r="A40" s="1" t="s">
        <v>1834</v>
      </c>
      <c r="B40" s="3">
        <f>+J36/B6</f>
        <v>5.075626246951896</v>
      </c>
      <c r="C40" s="66" t="s">
        <v>699</v>
      </c>
      <c r="D40" s="4" t="s">
        <v>1835</v>
      </c>
      <c r="E40" s="3"/>
      <c r="F40" s="22"/>
      <c r="G40" s="1"/>
      <c r="H40" s="1"/>
      <c r="I40" s="1"/>
      <c r="J40" s="1"/>
      <c r="K40" s="3"/>
      <c r="L40" s="4"/>
    </row>
    <row r="41" spans="1:12" ht="6" customHeight="1">
      <c r="A41" s="121"/>
      <c r="B41" s="68"/>
      <c r="C41" s="122"/>
      <c r="D41" s="123"/>
      <c r="E41" s="123"/>
      <c r="F41" s="123"/>
      <c r="G41" s="123"/>
      <c r="H41" s="68"/>
      <c r="I41" s="68"/>
      <c r="J41" s="68"/>
      <c r="K41" s="68"/>
      <c r="L41" s="68"/>
    </row>
    <row r="42" spans="1:10" ht="15.75" customHeight="1">
      <c r="A42" s="4" t="s">
        <v>1239</v>
      </c>
      <c r="D42" s="1"/>
      <c r="G42" s="124"/>
      <c r="H42" s="6"/>
      <c r="J42" s="124"/>
    </row>
    <row r="43" spans="1:12" ht="15.75" customHeight="1">
      <c r="A43" s="66" t="s">
        <v>1240</v>
      </c>
      <c r="B43" s="68"/>
      <c r="C43" s="106"/>
      <c r="D43" s="69"/>
      <c r="E43" s="69"/>
      <c r="F43" s="68"/>
      <c r="G43" s="69"/>
      <c r="H43" s="68"/>
      <c r="I43" s="68"/>
      <c r="J43" s="68"/>
      <c r="K43" s="68"/>
      <c r="L43" s="68"/>
    </row>
    <row r="44" spans="1:12" ht="15.75" customHeight="1">
      <c r="A44" s="66" t="s">
        <v>1241</v>
      </c>
      <c r="D44" s="1"/>
      <c r="E44" s="6"/>
      <c r="F44" s="66"/>
      <c r="G44" s="1"/>
      <c r="J44" s="68"/>
      <c r="K44" s="68"/>
      <c r="L44" s="68"/>
    </row>
    <row r="45" spans="1:12" ht="6" customHeight="1">
      <c r="A45" s="4"/>
      <c r="D45" s="1"/>
      <c r="E45" s="6"/>
      <c r="F45" s="66"/>
      <c r="G45" s="1"/>
      <c r="J45" s="68"/>
      <c r="K45" s="68"/>
      <c r="L45" s="68"/>
    </row>
    <row r="46" spans="1:12" ht="15.75" customHeight="1">
      <c r="A46" s="338" t="s">
        <v>1836</v>
      </c>
      <c r="D46" s="1"/>
      <c r="E46" s="6"/>
      <c r="F46" s="66"/>
      <c r="G46" s="1"/>
      <c r="J46" s="68"/>
      <c r="K46" s="68"/>
      <c r="L46" s="68"/>
    </row>
    <row r="47" spans="1:12" ht="6" customHeight="1">
      <c r="A47" s="4"/>
      <c r="D47" s="1"/>
      <c r="E47" s="6"/>
      <c r="F47" s="66"/>
      <c r="G47" s="1"/>
      <c r="J47" s="68"/>
      <c r="K47" s="68"/>
      <c r="L47" s="68"/>
    </row>
    <row r="48" spans="1:12" ht="15.75" customHeight="1">
      <c r="A48" s="4" t="s">
        <v>1242</v>
      </c>
      <c r="D48" s="1"/>
      <c r="E48" s="6"/>
      <c r="F48" s="66"/>
      <c r="G48" s="1"/>
      <c r="J48" s="68"/>
      <c r="K48" s="68"/>
      <c r="L48" s="68"/>
    </row>
    <row r="49" spans="1:12" ht="15.75" customHeight="1">
      <c r="A49" s="4" t="s">
        <v>1243</v>
      </c>
      <c r="D49" s="1"/>
      <c r="E49" s="6"/>
      <c r="F49" s="66"/>
      <c r="G49" s="1"/>
      <c r="J49" s="68"/>
      <c r="K49" s="68"/>
      <c r="L49" s="68"/>
    </row>
    <row r="50" spans="1:12" ht="15.75" customHeight="1">
      <c r="A50" s="4" t="s">
        <v>1244</v>
      </c>
      <c r="D50" s="1"/>
      <c r="E50" s="6"/>
      <c r="F50" s="66"/>
      <c r="G50" s="1"/>
      <c r="J50" s="68"/>
      <c r="K50" s="68"/>
      <c r="L50" s="68"/>
    </row>
    <row r="51" spans="1:12" ht="15.75" customHeight="1">
      <c r="A51" s="4" t="s">
        <v>1245</v>
      </c>
      <c r="D51" s="1"/>
      <c r="E51" s="6"/>
      <c r="F51" s="66"/>
      <c r="G51" s="1"/>
      <c r="J51" s="68"/>
      <c r="K51" s="68"/>
      <c r="L51" s="68"/>
    </row>
    <row r="52" spans="1:12" ht="6" customHeight="1">
      <c r="A52" s="4"/>
      <c r="D52" s="1"/>
      <c r="E52" s="6"/>
      <c r="F52" s="66"/>
      <c r="G52" s="1"/>
      <c r="J52" s="68"/>
      <c r="K52" s="68"/>
      <c r="L52" s="68"/>
    </row>
    <row r="53" spans="1:12" ht="15.75" customHeight="1">
      <c r="A53" s="4"/>
      <c r="B53" s="5" t="s">
        <v>2050</v>
      </c>
      <c r="D53" s="5"/>
      <c r="E53" s="4" t="s">
        <v>1845</v>
      </c>
      <c r="F53" s="66"/>
      <c r="G53" s="1"/>
      <c r="J53" s="68"/>
      <c r="L53" s="68"/>
    </row>
    <row r="54" spans="1:12" ht="6" customHeight="1">
      <c r="A54" s="4"/>
      <c r="C54" s="5"/>
      <c r="D54" s="5"/>
      <c r="E54" s="6"/>
      <c r="F54" s="66"/>
      <c r="G54" s="1"/>
      <c r="J54" s="68"/>
      <c r="K54" s="68"/>
      <c r="L54" s="68"/>
    </row>
    <row r="55" spans="2:12" ht="15.75" customHeight="1">
      <c r="B55" s="5" t="s">
        <v>1837</v>
      </c>
      <c r="C55" s="5"/>
      <c r="D55" s="5"/>
      <c r="E55" s="342" t="s">
        <v>1839</v>
      </c>
      <c r="F55" s="66"/>
      <c r="G55" s="1"/>
      <c r="J55" s="68"/>
      <c r="K55" s="68"/>
      <c r="L55" s="68"/>
    </row>
    <row r="56" spans="1:12" ht="6" customHeight="1">
      <c r="A56" s="4"/>
      <c r="C56" s="5"/>
      <c r="D56" s="5"/>
      <c r="F56" s="66"/>
      <c r="G56" s="1"/>
      <c r="J56" s="68"/>
      <c r="K56" s="68"/>
      <c r="L56" s="68"/>
    </row>
    <row r="57" spans="1:12" ht="15.75" customHeight="1">
      <c r="A57" s="342" t="s">
        <v>1838</v>
      </c>
      <c r="C57" s="5"/>
      <c r="D57" s="5"/>
      <c r="E57" s="342"/>
      <c r="F57" s="66"/>
      <c r="G57" s="1"/>
      <c r="J57" s="68"/>
      <c r="K57" s="68"/>
      <c r="L57" s="68"/>
    </row>
    <row r="58" spans="3:12" ht="6" customHeight="1">
      <c r="C58" s="5"/>
      <c r="D58" s="5"/>
      <c r="E58" s="342"/>
      <c r="F58" s="66"/>
      <c r="G58" s="1"/>
      <c r="J58" s="68"/>
      <c r="K58" s="68"/>
      <c r="L58" s="68"/>
    </row>
    <row r="59" spans="1:12" ht="15.75" customHeight="1">
      <c r="A59" s="4" t="s">
        <v>1847</v>
      </c>
      <c r="B59" s="1"/>
      <c r="C59" s="3">
        <f>+(1/2)*PI()*(H7^2)/4*H8</f>
        <v>7.037167544041138</v>
      </c>
      <c r="D59" s="4" t="s">
        <v>109</v>
      </c>
      <c r="E59" s="1"/>
      <c r="F59" s="4" t="s">
        <v>1848</v>
      </c>
      <c r="H59" s="6">
        <f>+C59*B7</f>
        <v>86951.2421741723</v>
      </c>
      <c r="I59" s="22" t="s">
        <v>704</v>
      </c>
      <c r="K59" s="68"/>
      <c r="L59" s="68"/>
    </row>
    <row r="60" spans="11:12" ht="6" customHeight="1">
      <c r="K60" s="1"/>
      <c r="L60" s="68"/>
    </row>
    <row r="61" spans="1:12" ht="15.75" customHeight="1">
      <c r="A61" s="4"/>
      <c r="C61" s="5"/>
      <c r="D61" s="5"/>
      <c r="E61" s="342"/>
      <c r="F61" s="4" t="s">
        <v>1246</v>
      </c>
      <c r="J61" s="68"/>
      <c r="K61" s="68"/>
      <c r="L61" s="68"/>
    </row>
    <row r="62" spans="1:12" ht="15.75" customHeight="1">
      <c r="A62" s="4"/>
      <c r="C62" s="5"/>
      <c r="D62" s="5"/>
      <c r="E62" s="342"/>
      <c r="F62" s="4" t="s">
        <v>1247</v>
      </c>
      <c r="G62" s="1"/>
      <c r="J62" s="68"/>
      <c r="K62" s="68"/>
      <c r="L62" s="68"/>
    </row>
    <row r="63" spans="1:12" ht="6" customHeight="1">
      <c r="A63" s="4"/>
      <c r="C63" s="5"/>
      <c r="D63" s="5"/>
      <c r="E63" s="342"/>
      <c r="F63" s="4"/>
      <c r="G63" s="1"/>
      <c r="J63" s="68"/>
      <c r="K63" s="68"/>
      <c r="L63" s="68"/>
    </row>
    <row r="64" spans="1:13" ht="15.75" customHeight="1">
      <c r="A64" s="92" t="s">
        <v>1248</v>
      </c>
      <c r="B64" s="1"/>
      <c r="C64" s="1"/>
      <c r="D64" s="1"/>
      <c r="E64" s="3"/>
      <c r="F64" s="92" t="s">
        <v>1249</v>
      </c>
      <c r="G64" s="1"/>
      <c r="H64" s="4"/>
      <c r="I64" s="1"/>
      <c r="L64" s="1"/>
      <c r="M64" s="1"/>
    </row>
    <row r="65" spans="1:13" ht="6" customHeight="1">
      <c r="A65" s="92"/>
      <c r="B65" s="1"/>
      <c r="C65" s="1"/>
      <c r="D65" s="1"/>
      <c r="E65" s="3"/>
      <c r="F65" s="1"/>
      <c r="G65" s="1"/>
      <c r="H65" s="1"/>
      <c r="I65" s="1"/>
      <c r="L65" s="1"/>
      <c r="M65" s="1"/>
    </row>
    <row r="66" spans="1:13" ht="15.75" customHeight="1">
      <c r="A66" s="4" t="s">
        <v>1840</v>
      </c>
      <c r="C66" s="3">
        <f>+G19-E8-E7+E6</f>
        <v>5.49832470055034</v>
      </c>
      <c r="D66" s="4" t="s">
        <v>699</v>
      </c>
      <c r="E66" s="3"/>
      <c r="F66" s="4" t="s">
        <v>1841</v>
      </c>
      <c r="G66" s="1"/>
      <c r="H66" s="6">
        <f>+B7*C66</f>
        <v>67937.3</v>
      </c>
      <c r="I66" s="4" t="s">
        <v>700</v>
      </c>
      <c r="L66" s="1"/>
      <c r="M66" s="1"/>
    </row>
    <row r="67" spans="1:13" ht="6" customHeight="1">
      <c r="A67" s="4"/>
      <c r="B67" s="1"/>
      <c r="C67" s="1"/>
      <c r="D67" s="1"/>
      <c r="E67" s="3"/>
      <c r="F67" s="1"/>
      <c r="G67" s="1"/>
      <c r="H67" s="1"/>
      <c r="I67" s="1"/>
      <c r="L67" s="1"/>
      <c r="M67" s="1"/>
    </row>
    <row r="68" spans="1:13" ht="15.75" customHeight="1">
      <c r="A68" s="4" t="s">
        <v>1842</v>
      </c>
      <c r="B68" s="4"/>
      <c r="C68" s="337"/>
      <c r="D68" s="1"/>
      <c r="E68" s="3"/>
      <c r="F68" s="4" t="s">
        <v>1843</v>
      </c>
      <c r="G68" s="1"/>
      <c r="H68" s="1"/>
      <c r="I68" s="1"/>
      <c r="L68" s="1"/>
      <c r="M68" s="1"/>
    </row>
    <row r="69" spans="1:13" ht="6" customHeight="1">
      <c r="A69" s="1"/>
      <c r="B69" s="4"/>
      <c r="C69" s="1"/>
      <c r="D69" s="1"/>
      <c r="E69" s="3"/>
      <c r="F69" s="75"/>
      <c r="G69" s="1"/>
      <c r="H69" s="1"/>
      <c r="I69" s="1"/>
      <c r="L69" s="1"/>
      <c r="M69" s="1"/>
    </row>
    <row r="70" spans="1:13" ht="15.75" customHeight="1">
      <c r="A70" s="1" t="s">
        <v>1855</v>
      </c>
      <c r="B70" s="3">
        <f>+H7*H8</f>
        <v>11.200000000000001</v>
      </c>
      <c r="C70" s="4" t="s">
        <v>108</v>
      </c>
      <c r="D70" s="1"/>
      <c r="E70" s="3"/>
      <c r="F70" s="4" t="s">
        <v>1856</v>
      </c>
      <c r="G70" s="1"/>
      <c r="H70" s="6">
        <f>+H66*B70</f>
        <v>760897.7600000001</v>
      </c>
      <c r="I70" s="22" t="s">
        <v>704</v>
      </c>
      <c r="L70" s="1"/>
      <c r="M70" s="1"/>
    </row>
    <row r="71" spans="1:13" ht="6" customHeight="1">
      <c r="A71" s="4"/>
      <c r="B71" s="1"/>
      <c r="C71" s="1"/>
      <c r="D71" s="1"/>
      <c r="E71" s="3"/>
      <c r="F71" s="4"/>
      <c r="G71" s="1"/>
      <c r="H71" s="1"/>
      <c r="I71" s="1"/>
      <c r="J71" s="1"/>
      <c r="K71" s="1"/>
      <c r="L71" s="1"/>
      <c r="M71" s="1"/>
    </row>
    <row r="72" spans="1:13" ht="15.75" customHeight="1">
      <c r="A72" s="4"/>
      <c r="B72" s="1"/>
      <c r="C72" s="1"/>
      <c r="D72" s="1"/>
      <c r="E72" s="3"/>
      <c r="F72" s="4" t="s">
        <v>1861</v>
      </c>
      <c r="G72" s="1"/>
      <c r="I72" s="1"/>
      <c r="J72" s="1"/>
      <c r="K72" s="1"/>
      <c r="L72" s="1"/>
      <c r="M72" s="1"/>
    </row>
    <row r="73" spans="1:13" ht="15.75" customHeight="1">
      <c r="A73" s="4"/>
      <c r="B73" s="1"/>
      <c r="C73" s="1"/>
      <c r="D73" s="1"/>
      <c r="E73" s="3"/>
      <c r="F73" s="4" t="s">
        <v>1250</v>
      </c>
      <c r="G73" s="1"/>
      <c r="I73" s="1"/>
      <c r="J73" s="1"/>
      <c r="K73" s="1"/>
      <c r="L73" s="1"/>
      <c r="M73" s="1"/>
    </row>
    <row r="74" spans="1:13" ht="6" customHeight="1">
      <c r="A74" s="4"/>
      <c r="B74" s="1"/>
      <c r="C74" s="1"/>
      <c r="D74" s="1"/>
      <c r="E74" s="3"/>
      <c r="F74" s="4"/>
      <c r="G74" s="1"/>
      <c r="I74" s="1"/>
      <c r="J74" s="1"/>
      <c r="K74" s="1"/>
      <c r="L74" s="1"/>
      <c r="M74" s="1"/>
    </row>
    <row r="75" spans="1:13" ht="15.75" customHeight="1">
      <c r="A75" s="4" t="s">
        <v>2214</v>
      </c>
      <c r="B75" s="1"/>
      <c r="C75" s="1"/>
      <c r="D75" s="1"/>
      <c r="E75" s="3"/>
      <c r="F75" s="4"/>
      <c r="G75" s="1"/>
      <c r="I75" s="1"/>
      <c r="J75" s="1"/>
      <c r="K75" s="1"/>
      <c r="L75" s="1"/>
      <c r="M75" s="1"/>
    </row>
    <row r="76" spans="1:13" ht="6" customHeight="1">
      <c r="A76" s="4"/>
      <c r="B76" s="1"/>
      <c r="C76" s="1"/>
      <c r="D76" s="1"/>
      <c r="E76" s="3"/>
      <c r="G76" s="1"/>
      <c r="I76" s="1"/>
      <c r="J76" s="1"/>
      <c r="K76" s="1"/>
      <c r="L76" s="1"/>
      <c r="M76" s="1"/>
    </row>
    <row r="77" spans="1:12" ht="15.75" customHeight="1">
      <c r="A77" s="12" t="s">
        <v>1869</v>
      </c>
      <c r="B77" s="13">
        <f>+H70</f>
        <v>760897.7600000001</v>
      </c>
      <c r="C77" s="25" t="s">
        <v>704</v>
      </c>
      <c r="D77" s="1"/>
      <c r="E77" s="14" t="s">
        <v>1870</v>
      </c>
      <c r="F77" s="28"/>
      <c r="G77" s="13">
        <f>+H59</f>
        <v>86951.2421741723</v>
      </c>
      <c r="H77" s="25" t="s">
        <v>704</v>
      </c>
      <c r="K77" s="68"/>
      <c r="L77" s="68"/>
    </row>
    <row r="78" spans="1:12" ht="6" customHeight="1">
      <c r="A78" s="1"/>
      <c r="B78" s="1"/>
      <c r="C78" s="1"/>
      <c r="D78" s="1"/>
      <c r="E78" s="3"/>
      <c r="F78" s="4"/>
      <c r="G78" s="1"/>
      <c r="H78" s="1"/>
      <c r="I78" s="1"/>
      <c r="J78" s="68"/>
      <c r="K78" s="68"/>
      <c r="L78" s="68"/>
    </row>
    <row r="79" spans="1:12" ht="15.75" customHeight="1">
      <c r="A79" s="14" t="s">
        <v>1871</v>
      </c>
      <c r="B79" s="12"/>
      <c r="C79" s="28"/>
      <c r="D79" s="13">
        <f>+SQRT(B77^2+G77^2)</f>
        <v>765849.8023037215</v>
      </c>
      <c r="E79" s="14" t="s">
        <v>704</v>
      </c>
      <c r="G79" s="1"/>
      <c r="H79" s="1"/>
      <c r="I79" s="1"/>
      <c r="J79" s="68"/>
      <c r="K79" s="68"/>
      <c r="L79" s="68"/>
    </row>
    <row r="80" spans="1:12" ht="6" customHeight="1">
      <c r="A80" s="1"/>
      <c r="B80" s="1"/>
      <c r="C80" s="1"/>
      <c r="D80" s="1"/>
      <c r="E80" s="3"/>
      <c r="F80" s="4"/>
      <c r="G80" s="1"/>
      <c r="H80" s="1"/>
      <c r="I80" s="1"/>
      <c r="J80" s="68"/>
      <c r="K80" s="68"/>
      <c r="L80" s="68"/>
    </row>
    <row r="81" spans="1:12" ht="15.75" customHeight="1">
      <c r="A81" s="338" t="s">
        <v>1844</v>
      </c>
      <c r="F81" s="1"/>
      <c r="G81" s="1"/>
      <c r="H81" s="1"/>
      <c r="I81" s="1"/>
      <c r="J81" s="68"/>
      <c r="K81" s="68"/>
      <c r="L81" s="68"/>
    </row>
    <row r="82" spans="1:12" ht="6" customHeight="1">
      <c r="A82" s="4"/>
      <c r="F82" s="1"/>
      <c r="G82" s="1"/>
      <c r="H82" s="1"/>
      <c r="I82" s="1"/>
      <c r="J82" s="68"/>
      <c r="K82" s="68"/>
      <c r="L82" s="68"/>
    </row>
    <row r="83" spans="1:12" ht="15.75" customHeight="1">
      <c r="A83" s="4" t="s">
        <v>1251</v>
      </c>
      <c r="F83" s="1"/>
      <c r="G83" s="1"/>
      <c r="H83" s="1"/>
      <c r="I83" s="1"/>
      <c r="J83" s="68"/>
      <c r="K83" s="68"/>
      <c r="L83" s="68"/>
    </row>
    <row r="84" spans="1:12" ht="15.75" customHeight="1">
      <c r="A84" s="4" t="s">
        <v>1252</v>
      </c>
      <c r="F84" s="1"/>
      <c r="G84" s="1"/>
      <c r="H84" s="1"/>
      <c r="I84" s="1"/>
      <c r="J84" s="68"/>
      <c r="K84" s="68"/>
      <c r="L84" s="68"/>
    </row>
    <row r="85" spans="1:12" ht="15.75" customHeight="1">
      <c r="A85" s="4" t="s">
        <v>1257</v>
      </c>
      <c r="F85" s="1"/>
      <c r="G85" s="1"/>
      <c r="H85" s="1"/>
      <c r="I85" s="1"/>
      <c r="J85" s="68"/>
      <c r="K85" s="68"/>
      <c r="L85" s="68"/>
    </row>
    <row r="86" spans="1:12" ht="15.75" customHeight="1">
      <c r="A86" s="350" t="s">
        <v>641</v>
      </c>
      <c r="F86" s="1"/>
      <c r="G86" s="1"/>
      <c r="H86" s="1"/>
      <c r="I86" s="1"/>
      <c r="J86" s="68"/>
      <c r="K86" s="68"/>
      <c r="L86" s="68"/>
    </row>
    <row r="87" spans="1:12" ht="15.75" customHeight="1">
      <c r="A87" s="4" t="s">
        <v>642</v>
      </c>
      <c r="F87" s="1"/>
      <c r="G87" s="1"/>
      <c r="H87" s="1"/>
      <c r="I87" s="1"/>
      <c r="J87" s="68"/>
      <c r="K87" s="68"/>
      <c r="L87" s="68"/>
    </row>
    <row r="88" spans="6:12" ht="6" customHeight="1">
      <c r="F88" s="1"/>
      <c r="G88" s="1"/>
      <c r="H88" s="1"/>
      <c r="I88" s="1"/>
      <c r="J88" s="68"/>
      <c r="K88" s="68"/>
      <c r="L88" s="68"/>
    </row>
    <row r="89" spans="2:12" ht="15.75" customHeight="1">
      <c r="B89" s="5" t="s">
        <v>2051</v>
      </c>
      <c r="F89" s="4" t="s">
        <v>1253</v>
      </c>
      <c r="G89" s="1"/>
      <c r="H89" s="1"/>
      <c r="I89" s="1"/>
      <c r="J89" s="68"/>
      <c r="K89" s="68"/>
      <c r="L89" s="68"/>
    </row>
    <row r="90" spans="2:12" ht="15.75" customHeight="1">
      <c r="B90" s="5"/>
      <c r="F90" s="4" t="s">
        <v>1254</v>
      </c>
      <c r="G90" s="1"/>
      <c r="H90" s="1"/>
      <c r="I90" s="1"/>
      <c r="J90" s="68"/>
      <c r="K90" s="68"/>
      <c r="L90" s="68"/>
    </row>
    <row r="91" spans="2:12" ht="6" customHeight="1">
      <c r="B91" s="5"/>
      <c r="F91" s="4"/>
      <c r="G91" s="1"/>
      <c r="H91" s="1"/>
      <c r="I91" s="1"/>
      <c r="J91" s="68"/>
      <c r="K91" s="68"/>
      <c r="L91" s="68"/>
    </row>
    <row r="92" spans="1:12" ht="15.75" customHeight="1">
      <c r="A92" s="4" t="s">
        <v>2214</v>
      </c>
      <c r="G92" s="1"/>
      <c r="H92" s="1"/>
      <c r="I92" s="1"/>
      <c r="J92" s="68"/>
      <c r="K92" s="68"/>
      <c r="L92" s="68"/>
    </row>
    <row r="93" spans="6:12" ht="6" customHeight="1">
      <c r="F93" s="1"/>
      <c r="G93" s="1"/>
      <c r="H93" s="1"/>
      <c r="I93" s="1"/>
      <c r="J93" s="68"/>
      <c r="K93" s="68"/>
      <c r="L93" s="68"/>
    </row>
    <row r="94" spans="2:12" ht="15.75" customHeight="1">
      <c r="B94" s="5" t="s">
        <v>1846</v>
      </c>
      <c r="F94" s="342" t="s">
        <v>1255</v>
      </c>
      <c r="G94" s="1"/>
      <c r="H94" s="1"/>
      <c r="I94" s="1"/>
      <c r="J94" s="68"/>
      <c r="K94" s="68"/>
      <c r="L94" s="68"/>
    </row>
    <row r="95" spans="2:12" ht="15.75" customHeight="1">
      <c r="B95" s="5"/>
      <c r="F95" s="342" t="s">
        <v>1256</v>
      </c>
      <c r="G95" s="1"/>
      <c r="H95" s="1"/>
      <c r="I95" s="1"/>
      <c r="J95" s="68"/>
      <c r="K95" s="68"/>
      <c r="L95" s="68"/>
    </row>
    <row r="96" spans="1:12" ht="6" customHeight="1">
      <c r="A96" s="4"/>
      <c r="C96" s="5"/>
      <c r="D96" s="5"/>
      <c r="E96" s="6"/>
      <c r="F96" s="66"/>
      <c r="G96" s="1"/>
      <c r="J96" s="68"/>
      <c r="K96" s="68"/>
      <c r="L96" s="68"/>
    </row>
    <row r="97" spans="1:12" ht="15.75" customHeight="1">
      <c r="A97" s="342" t="s">
        <v>1838</v>
      </c>
      <c r="C97" s="5"/>
      <c r="D97" s="5"/>
      <c r="E97" s="6"/>
      <c r="F97" s="66"/>
      <c r="G97" s="1"/>
      <c r="J97" s="68"/>
      <c r="K97" s="68"/>
      <c r="L97" s="68"/>
    </row>
    <row r="98" spans="1:12" ht="6" customHeight="1">
      <c r="A98" s="4"/>
      <c r="C98" s="5"/>
      <c r="D98" s="5"/>
      <c r="E98" s="6"/>
      <c r="F98" s="66"/>
      <c r="G98" s="1"/>
      <c r="J98" s="68"/>
      <c r="K98" s="68"/>
      <c r="L98" s="68"/>
    </row>
    <row r="99" spans="1:12" ht="15.75" customHeight="1">
      <c r="A99" s="4" t="s">
        <v>1849</v>
      </c>
      <c r="B99" s="1"/>
      <c r="C99" s="3">
        <f>+(1/4)*PI()*(H7^2)/4*H8</f>
        <v>3.518583772020569</v>
      </c>
      <c r="D99" s="4" t="s">
        <v>109</v>
      </c>
      <c r="E99" s="1"/>
      <c r="G99" s="4" t="s">
        <v>1850</v>
      </c>
      <c r="I99" s="6">
        <f>+C99*B5</f>
        <v>25875.665059439263</v>
      </c>
      <c r="J99" s="22" t="s">
        <v>704</v>
      </c>
      <c r="K99" s="68"/>
      <c r="L99" s="68"/>
    </row>
    <row r="100" spans="10:12" ht="6" customHeight="1">
      <c r="J100" s="68"/>
      <c r="K100" s="68"/>
      <c r="L100" s="68"/>
    </row>
    <row r="101" spans="1:12" ht="15.75" customHeight="1">
      <c r="A101" s="4"/>
      <c r="C101" s="5"/>
      <c r="D101" s="5"/>
      <c r="E101" s="342"/>
      <c r="G101" s="4" t="s">
        <v>643</v>
      </c>
      <c r="J101" s="68"/>
      <c r="K101" s="68"/>
      <c r="L101" s="68"/>
    </row>
    <row r="102" spans="1:12" ht="15.75" customHeight="1">
      <c r="A102" s="4"/>
      <c r="C102" s="5"/>
      <c r="D102" s="5"/>
      <c r="E102" s="342"/>
      <c r="G102" s="4" t="s">
        <v>644</v>
      </c>
      <c r="J102" s="68"/>
      <c r="K102" s="68"/>
      <c r="L102" s="68"/>
    </row>
    <row r="103" spans="1:12" ht="15.75" customHeight="1">
      <c r="A103" s="4"/>
      <c r="C103" s="5"/>
      <c r="D103" s="5"/>
      <c r="E103" s="342"/>
      <c r="F103" s="4"/>
      <c r="G103" s="4" t="s">
        <v>645</v>
      </c>
      <c r="J103" s="68"/>
      <c r="K103" s="68"/>
      <c r="L103" s="68"/>
    </row>
    <row r="104" spans="1:12" ht="6" customHeight="1">
      <c r="A104" s="4"/>
      <c r="C104" s="5"/>
      <c r="D104" s="5"/>
      <c r="E104" s="342"/>
      <c r="F104" s="4"/>
      <c r="G104" s="1"/>
      <c r="J104" s="68"/>
      <c r="K104" s="68"/>
      <c r="L104" s="68"/>
    </row>
    <row r="105" spans="1:12" ht="15.75" customHeight="1">
      <c r="A105" s="4" t="s">
        <v>1851</v>
      </c>
      <c r="B105" s="1"/>
      <c r="C105" s="3">
        <f>+(1/4)*PI()*(H7^2)/4*H8</f>
        <v>3.518583772020569</v>
      </c>
      <c r="D105" s="4" t="s">
        <v>109</v>
      </c>
      <c r="E105" s="1"/>
      <c r="G105" s="4" t="s">
        <v>1852</v>
      </c>
      <c r="I105" s="6">
        <f>+C105*B6</f>
        <v>31744.662791169572</v>
      </c>
      <c r="J105" s="22" t="s">
        <v>704</v>
      </c>
      <c r="K105" s="68"/>
      <c r="L105" s="68"/>
    </row>
    <row r="106" spans="10:12" ht="6" customHeight="1">
      <c r="J106" s="68"/>
      <c r="K106" s="68"/>
      <c r="L106" s="68"/>
    </row>
    <row r="107" spans="1:12" ht="15.75" customHeight="1">
      <c r="A107" s="4"/>
      <c r="C107" s="5"/>
      <c r="D107" s="5"/>
      <c r="E107" s="342"/>
      <c r="F107" s="4"/>
      <c r="G107" s="4" t="s">
        <v>646</v>
      </c>
      <c r="J107" s="68"/>
      <c r="K107" s="68"/>
      <c r="L107" s="68"/>
    </row>
    <row r="108" spans="1:12" ht="15.75" customHeight="1">
      <c r="A108" s="4"/>
      <c r="C108" s="5"/>
      <c r="D108" s="5"/>
      <c r="E108" s="342"/>
      <c r="F108" s="4"/>
      <c r="G108" s="4" t="s">
        <v>647</v>
      </c>
      <c r="J108" s="68"/>
      <c r="K108" s="68"/>
      <c r="L108" s="68"/>
    </row>
    <row r="109" spans="1:12" ht="15.75" customHeight="1">
      <c r="A109" s="4"/>
      <c r="C109" s="5"/>
      <c r="D109" s="5"/>
      <c r="E109" s="342"/>
      <c r="F109" s="4"/>
      <c r="G109" s="4" t="s">
        <v>85</v>
      </c>
      <c r="J109" s="68"/>
      <c r="K109" s="68"/>
      <c r="L109" s="68"/>
    </row>
    <row r="110" spans="1:12" ht="6" customHeight="1">
      <c r="A110" s="4"/>
      <c r="C110" s="5"/>
      <c r="D110" s="5"/>
      <c r="E110" s="342"/>
      <c r="F110" s="4"/>
      <c r="G110" s="1"/>
      <c r="J110" s="68"/>
      <c r="K110" s="68"/>
      <c r="L110" s="68"/>
    </row>
    <row r="111" spans="1:12" ht="15.75" customHeight="1">
      <c r="A111" s="92" t="s">
        <v>86</v>
      </c>
      <c r="B111" s="1"/>
      <c r="C111" s="1"/>
      <c r="D111" s="1"/>
      <c r="E111" s="3"/>
      <c r="G111" s="92" t="s">
        <v>632</v>
      </c>
      <c r="H111" s="4"/>
      <c r="I111" s="1"/>
      <c r="L111" s="1"/>
    </row>
    <row r="112" spans="1:12" ht="6" customHeight="1">
      <c r="A112" s="92"/>
      <c r="B112" s="1"/>
      <c r="C112" s="1"/>
      <c r="D112" s="1"/>
      <c r="E112" s="3"/>
      <c r="G112" s="1"/>
      <c r="H112" s="1"/>
      <c r="I112" s="1"/>
      <c r="L112" s="1"/>
    </row>
    <row r="113" spans="1:12" ht="15.75" customHeight="1">
      <c r="A113" s="4" t="s">
        <v>1853</v>
      </c>
      <c r="C113" s="3">
        <f>+C36-H7/4</f>
        <v>5.826856132716888</v>
      </c>
      <c r="D113" s="4" t="s">
        <v>699</v>
      </c>
      <c r="E113" s="3"/>
      <c r="G113" s="4" t="s">
        <v>1854</v>
      </c>
      <c r="I113" s="6">
        <f>+B5*C113</f>
        <v>42850.7</v>
      </c>
      <c r="J113" s="4" t="s">
        <v>700</v>
      </c>
      <c r="L113" s="1"/>
    </row>
    <row r="114" spans="1:12" ht="6" customHeight="1">
      <c r="A114" s="4"/>
      <c r="B114" s="1"/>
      <c r="C114" s="1"/>
      <c r="D114" s="1"/>
      <c r="E114" s="3"/>
      <c r="G114" s="1"/>
      <c r="H114" s="1"/>
      <c r="I114" s="1"/>
      <c r="L114" s="1"/>
    </row>
    <row r="115" spans="1:12" ht="15.75" customHeight="1">
      <c r="A115" s="4" t="s">
        <v>1858</v>
      </c>
      <c r="B115" s="4"/>
      <c r="C115" s="337"/>
      <c r="D115" s="1"/>
      <c r="E115" s="3"/>
      <c r="G115" s="4" t="s">
        <v>1859</v>
      </c>
      <c r="H115" s="1"/>
      <c r="I115" s="1"/>
      <c r="L115" s="1"/>
    </row>
    <row r="116" spans="1:12" ht="6" customHeight="1">
      <c r="A116" s="1"/>
      <c r="B116" s="4"/>
      <c r="C116" s="1"/>
      <c r="D116" s="1"/>
      <c r="E116" s="3"/>
      <c r="G116" s="75"/>
      <c r="H116" s="1"/>
      <c r="I116" s="1"/>
      <c r="L116" s="1"/>
    </row>
    <row r="117" spans="1:12" ht="15.75" customHeight="1">
      <c r="A117" s="4" t="s">
        <v>1857</v>
      </c>
      <c r="C117" s="3">
        <f>+H7/2*H8</f>
        <v>5.6000000000000005</v>
      </c>
      <c r="D117" s="4" t="s">
        <v>108</v>
      </c>
      <c r="E117" s="3"/>
      <c r="G117" s="4" t="s">
        <v>1860</v>
      </c>
      <c r="I117" s="6">
        <f>+I113*C117</f>
        <v>239963.92</v>
      </c>
      <c r="J117" s="22" t="s">
        <v>704</v>
      </c>
      <c r="L117" s="1"/>
    </row>
    <row r="118" spans="1:12" ht="6" customHeight="1">
      <c r="A118" s="4"/>
      <c r="B118" s="1"/>
      <c r="C118" s="1"/>
      <c r="D118" s="1"/>
      <c r="E118" s="3"/>
      <c r="G118" s="4"/>
      <c r="H118" s="1"/>
      <c r="I118" s="1"/>
      <c r="J118" s="1"/>
      <c r="K118" s="1"/>
      <c r="L118" s="1"/>
    </row>
    <row r="119" spans="1:12" ht="15.75" customHeight="1">
      <c r="A119" s="4"/>
      <c r="B119" s="1"/>
      <c r="C119" s="1"/>
      <c r="D119" s="1"/>
      <c r="E119" s="3"/>
      <c r="G119" s="4" t="s">
        <v>87</v>
      </c>
      <c r="I119" s="1"/>
      <c r="J119" s="1"/>
      <c r="K119" s="1"/>
      <c r="L119" s="1"/>
    </row>
    <row r="120" spans="1:12" ht="15.75" customHeight="1">
      <c r="A120" s="4"/>
      <c r="B120" s="1"/>
      <c r="C120" s="1"/>
      <c r="D120" s="1"/>
      <c r="E120" s="3"/>
      <c r="G120" s="4" t="s">
        <v>88</v>
      </c>
      <c r="I120" s="1"/>
      <c r="J120" s="1"/>
      <c r="K120" s="1"/>
      <c r="L120" s="1"/>
    </row>
    <row r="121" spans="1:12" ht="15.75" customHeight="1">
      <c r="A121" s="4"/>
      <c r="B121" s="1"/>
      <c r="C121" s="1"/>
      <c r="D121" s="1"/>
      <c r="E121" s="3"/>
      <c r="G121" s="4" t="s">
        <v>89</v>
      </c>
      <c r="I121" s="1"/>
      <c r="J121" s="1"/>
      <c r="K121" s="1"/>
      <c r="L121" s="1"/>
    </row>
    <row r="122" spans="1:12" ht="6" customHeight="1">
      <c r="A122" s="4"/>
      <c r="C122" s="5"/>
      <c r="D122" s="5"/>
      <c r="E122" s="342"/>
      <c r="F122" s="4"/>
      <c r="G122" s="1"/>
      <c r="J122" s="68"/>
      <c r="K122" s="68"/>
      <c r="L122" s="68"/>
    </row>
    <row r="123" spans="1:12" ht="15.75" customHeight="1">
      <c r="A123" s="92" t="s">
        <v>90</v>
      </c>
      <c r="B123" s="1"/>
      <c r="C123" s="1"/>
      <c r="D123" s="1"/>
      <c r="E123" s="3"/>
      <c r="G123" s="92" t="s">
        <v>1115</v>
      </c>
      <c r="H123" s="4"/>
      <c r="I123" s="1"/>
      <c r="L123" s="22"/>
    </row>
    <row r="124" spans="1:12" ht="6" customHeight="1">
      <c r="A124" s="92"/>
      <c r="B124" s="1"/>
      <c r="C124" s="1"/>
      <c r="D124" s="1"/>
      <c r="E124" s="3"/>
      <c r="G124" s="1"/>
      <c r="H124" s="1"/>
      <c r="I124" s="1"/>
      <c r="K124" s="68"/>
      <c r="L124" s="68"/>
    </row>
    <row r="125" spans="1:12" ht="15.75" customHeight="1">
      <c r="A125" s="4" t="s">
        <v>1862</v>
      </c>
      <c r="C125" s="3">
        <f>+B40+H7/4</f>
        <v>5.475626246951896</v>
      </c>
      <c r="D125" s="4" t="s">
        <v>699</v>
      </c>
      <c r="E125" s="3"/>
      <c r="G125" s="4" t="s">
        <v>1863</v>
      </c>
      <c r="I125" s="6">
        <f>+B6*C125</f>
        <v>49401.100000000006</v>
      </c>
      <c r="J125" s="4" t="s">
        <v>700</v>
      </c>
      <c r="K125" s="68"/>
      <c r="L125" s="68"/>
    </row>
    <row r="126" spans="1:12" ht="6" customHeight="1">
      <c r="A126" s="4"/>
      <c r="B126" s="1"/>
      <c r="C126" s="1"/>
      <c r="D126" s="1"/>
      <c r="E126" s="3"/>
      <c r="G126" s="1"/>
      <c r="H126" s="1"/>
      <c r="I126" s="1"/>
      <c r="K126" s="66"/>
      <c r="L126" s="68"/>
    </row>
    <row r="127" spans="1:12" ht="15.75" customHeight="1">
      <c r="A127" s="4" t="s">
        <v>1864</v>
      </c>
      <c r="B127" s="4"/>
      <c r="C127" s="337"/>
      <c r="D127" s="1"/>
      <c r="E127" s="3"/>
      <c r="G127" s="4" t="s">
        <v>1865</v>
      </c>
      <c r="H127" s="1"/>
      <c r="I127" s="1"/>
      <c r="K127" s="68"/>
      <c r="L127" s="68"/>
    </row>
    <row r="128" spans="1:12" ht="6" customHeight="1">
      <c r="A128" s="1"/>
      <c r="B128" s="4"/>
      <c r="C128" s="1"/>
      <c r="D128" s="1"/>
      <c r="E128" s="3"/>
      <c r="G128" s="75"/>
      <c r="H128" s="1"/>
      <c r="I128" s="1"/>
      <c r="K128" s="68"/>
      <c r="L128" s="68"/>
    </row>
    <row r="129" spans="1:12" ht="15.75" customHeight="1">
      <c r="A129" s="4" t="s">
        <v>1866</v>
      </c>
      <c r="C129" s="3">
        <f>+H7/2*H8</f>
        <v>5.6000000000000005</v>
      </c>
      <c r="D129" s="4" t="s">
        <v>108</v>
      </c>
      <c r="E129" s="3"/>
      <c r="G129" s="4" t="s">
        <v>1867</v>
      </c>
      <c r="I129" s="6">
        <f>+I125*C129</f>
        <v>276646.16000000003</v>
      </c>
      <c r="J129" s="22" t="s">
        <v>704</v>
      </c>
      <c r="K129" s="68"/>
      <c r="L129" s="68"/>
    </row>
    <row r="130" spans="1:12" ht="6" customHeight="1">
      <c r="A130" s="4"/>
      <c r="B130" s="1"/>
      <c r="C130" s="1"/>
      <c r="D130" s="1"/>
      <c r="E130" s="3"/>
      <c r="G130" s="4"/>
      <c r="H130" s="1"/>
      <c r="I130" s="1"/>
      <c r="J130" s="1"/>
      <c r="K130" s="68"/>
      <c r="L130" s="68"/>
    </row>
    <row r="131" spans="1:12" ht="15.75" customHeight="1">
      <c r="A131" s="4"/>
      <c r="B131" s="1"/>
      <c r="C131" s="1"/>
      <c r="D131" s="1"/>
      <c r="E131" s="3"/>
      <c r="G131" s="4" t="s">
        <v>87</v>
      </c>
      <c r="I131" s="1"/>
      <c r="J131" s="1"/>
      <c r="L131" s="22"/>
    </row>
    <row r="132" spans="1:12" ht="15.75" customHeight="1">
      <c r="A132" s="4"/>
      <c r="B132" s="1"/>
      <c r="C132" s="1"/>
      <c r="D132" s="1"/>
      <c r="E132" s="3"/>
      <c r="G132" s="4" t="s">
        <v>91</v>
      </c>
      <c r="I132" s="1"/>
      <c r="J132" s="1"/>
      <c r="L132" s="22"/>
    </row>
    <row r="133" spans="1:12" ht="15.75" customHeight="1">
      <c r="A133" s="4"/>
      <c r="B133" s="1"/>
      <c r="C133" s="1"/>
      <c r="D133" s="1"/>
      <c r="E133" s="3"/>
      <c r="G133" s="4" t="s">
        <v>89</v>
      </c>
      <c r="I133" s="1"/>
      <c r="J133" s="1"/>
      <c r="L133" s="22"/>
    </row>
    <row r="134" spans="1:12" ht="6" customHeight="1">
      <c r="A134" s="1"/>
      <c r="B134" s="3"/>
      <c r="C134" s="4"/>
      <c r="D134" s="1"/>
      <c r="F134" s="4"/>
      <c r="G134" s="1"/>
      <c r="I134" s="4"/>
      <c r="J134" s="2"/>
      <c r="L134" s="22"/>
    </row>
    <row r="135" spans="1:12" ht="15.75" customHeight="1">
      <c r="A135" s="4" t="s">
        <v>2214</v>
      </c>
      <c r="B135" s="1"/>
      <c r="C135" s="1"/>
      <c r="D135" s="1"/>
      <c r="E135" s="3"/>
      <c r="F135" s="4"/>
      <c r="G135" s="1"/>
      <c r="I135" s="4"/>
      <c r="J135" s="2"/>
      <c r="L135" s="22"/>
    </row>
    <row r="136" spans="1:12" ht="6" customHeight="1">
      <c r="A136" s="4"/>
      <c r="B136" s="1"/>
      <c r="C136" s="1"/>
      <c r="D136" s="1"/>
      <c r="E136" s="3"/>
      <c r="G136" s="1"/>
      <c r="I136" s="4"/>
      <c r="J136" s="2"/>
      <c r="L136" s="22"/>
    </row>
    <row r="137" spans="1:12" ht="15.75" customHeight="1">
      <c r="A137" s="14" t="s">
        <v>1872</v>
      </c>
      <c r="C137" s="13">
        <f>+I117+I129</f>
        <v>516610.0800000001</v>
      </c>
      <c r="D137" s="25" t="s">
        <v>704</v>
      </c>
      <c r="F137" s="14" t="s">
        <v>92</v>
      </c>
      <c r="G137" s="28"/>
      <c r="H137" s="13">
        <f>+I99+I105</f>
        <v>57620.32785060884</v>
      </c>
      <c r="I137" s="25" t="s">
        <v>704</v>
      </c>
      <c r="J137" s="2"/>
      <c r="L137" s="22"/>
    </row>
    <row r="138" spans="1:12" ht="6" customHeight="1">
      <c r="A138" s="1"/>
      <c r="B138" s="1"/>
      <c r="C138" s="1"/>
      <c r="D138" s="1"/>
      <c r="E138" s="3"/>
      <c r="F138" s="4"/>
      <c r="G138" s="1"/>
      <c r="H138" s="1"/>
      <c r="I138" s="4"/>
      <c r="J138" s="2"/>
      <c r="L138" s="22"/>
    </row>
    <row r="139" spans="1:12" ht="15.75" customHeight="1">
      <c r="A139" s="343" t="s">
        <v>1873</v>
      </c>
      <c r="B139" s="12"/>
      <c r="C139" s="28"/>
      <c r="D139" s="13">
        <f>+SQRT(C137^2+H137^2)</f>
        <v>519813.50207475194</v>
      </c>
      <c r="E139" s="14" t="s">
        <v>704</v>
      </c>
      <c r="G139" s="1"/>
      <c r="H139" s="1"/>
      <c r="I139" s="4"/>
      <c r="J139" s="2"/>
      <c r="L139" s="22"/>
    </row>
    <row r="140" spans="1:12" ht="6" customHeight="1">
      <c r="A140" s="1"/>
      <c r="B140" s="3"/>
      <c r="C140" s="4"/>
      <c r="D140" s="1"/>
      <c r="F140" s="4"/>
      <c r="G140" s="1"/>
      <c r="I140" s="4"/>
      <c r="J140" s="2"/>
      <c r="L140" s="22"/>
    </row>
    <row r="141" spans="1:12" ht="15.75" customHeight="1">
      <c r="A141" s="4" t="s">
        <v>1868</v>
      </c>
      <c r="C141" s="4"/>
      <c r="D141" s="1"/>
      <c r="F141" s="22"/>
      <c r="G141" s="69"/>
      <c r="H141" s="68"/>
      <c r="I141" s="68"/>
      <c r="J141" s="68"/>
      <c r="K141" s="68"/>
      <c r="L141" s="68"/>
    </row>
    <row r="142" spans="1:12" ht="6" customHeight="1">
      <c r="A142" s="66"/>
      <c r="B142" s="106"/>
      <c r="C142" s="66"/>
      <c r="D142" s="69"/>
      <c r="E142" s="69"/>
      <c r="F142" s="69"/>
      <c r="G142" s="69"/>
      <c r="H142" s="68"/>
      <c r="I142" s="68"/>
      <c r="J142" s="68"/>
      <c r="K142" s="66"/>
      <c r="L142" s="68"/>
    </row>
    <row r="143" spans="1:12" ht="15.75" customHeight="1">
      <c r="A143" s="9" t="s">
        <v>1874</v>
      </c>
      <c r="B143" s="8"/>
      <c r="C143" s="11">
        <f>+C137-B77</f>
        <v>-244287.68000000005</v>
      </c>
      <c r="D143" s="9" t="s">
        <v>704</v>
      </c>
      <c r="E143" s="6"/>
      <c r="F143" s="4" t="s">
        <v>1875</v>
      </c>
      <c r="G143" s="1"/>
      <c r="I143" s="4"/>
      <c r="J143" s="2"/>
      <c r="L143" s="22"/>
    </row>
    <row r="144" spans="1:12" ht="6" customHeight="1">
      <c r="A144" s="68"/>
      <c r="B144" s="106"/>
      <c r="C144" s="66"/>
      <c r="D144" s="69"/>
      <c r="E144" s="69"/>
      <c r="F144" s="69"/>
      <c r="G144" s="69"/>
      <c r="H144" s="68"/>
      <c r="I144" s="68"/>
      <c r="J144" s="68"/>
      <c r="K144" s="68"/>
      <c r="L144" s="68"/>
    </row>
    <row r="145" spans="1:12" ht="15.75" customHeight="1">
      <c r="A145" s="9" t="s">
        <v>1876</v>
      </c>
      <c r="B145" s="8"/>
      <c r="C145" s="11">
        <f>+G77-H137</f>
        <v>29330.914323563455</v>
      </c>
      <c r="D145" s="9" t="s">
        <v>704</v>
      </c>
      <c r="E145" s="6"/>
      <c r="F145" s="4" t="s">
        <v>1877</v>
      </c>
      <c r="G145" s="69"/>
      <c r="H145" s="68"/>
      <c r="I145" s="68"/>
      <c r="J145" s="68"/>
      <c r="K145" s="68"/>
      <c r="L145" s="68"/>
    </row>
    <row r="146" spans="1:12" ht="6" customHeight="1">
      <c r="A146" s="66"/>
      <c r="B146" s="68"/>
      <c r="C146" s="106"/>
      <c r="D146" s="69"/>
      <c r="E146" s="68"/>
      <c r="F146" s="124"/>
      <c r="G146" s="69"/>
      <c r="H146" s="68"/>
      <c r="I146" s="68"/>
      <c r="J146" s="68"/>
      <c r="K146" s="68"/>
      <c r="L146" s="68"/>
    </row>
    <row r="147" spans="1:12" ht="15.75" customHeight="1">
      <c r="A147" s="344" t="s">
        <v>1878</v>
      </c>
      <c r="B147" s="74"/>
      <c r="C147" s="9"/>
      <c r="D147" s="11">
        <f>+SQRT(C143^2+C145^2)</f>
        <v>246042.21819606214</v>
      </c>
      <c r="E147" s="9" t="s">
        <v>704</v>
      </c>
      <c r="G147" s="14"/>
      <c r="H147" s="1"/>
      <c r="J147" s="14"/>
      <c r="K147" s="68"/>
      <c r="L147" s="68"/>
    </row>
    <row r="148" spans="1:12" ht="6" customHeight="1">
      <c r="A148" s="126"/>
      <c r="B148" s="126"/>
      <c r="C148" s="126"/>
      <c r="D148" s="126"/>
      <c r="E148" s="126"/>
      <c r="F148" s="126"/>
      <c r="G148" s="126"/>
      <c r="H148" s="68"/>
      <c r="I148" s="68"/>
      <c r="J148" s="68"/>
      <c r="K148" s="68"/>
      <c r="L148" s="68"/>
    </row>
    <row r="149" spans="1:12" ht="6" customHeight="1">
      <c r="A149" s="110"/>
      <c r="B149" s="110"/>
      <c r="C149" s="110"/>
      <c r="D149" s="110"/>
      <c r="E149" s="110"/>
      <c r="F149" s="110"/>
      <c r="G149" s="110"/>
      <c r="H149" s="108"/>
      <c r="I149" s="108"/>
      <c r="J149" s="108"/>
      <c r="K149" s="108"/>
      <c r="L149" s="108"/>
    </row>
    <row r="150" ht="6" customHeight="1"/>
    <row r="151" ht="15.75" customHeight="1">
      <c r="A151" s="85" t="s">
        <v>2318</v>
      </c>
    </row>
    <row r="152" ht="6" customHeight="1">
      <c r="A152" s="5"/>
    </row>
    <row r="153" ht="15.75" customHeight="1">
      <c r="A153" s="5" t="s">
        <v>112</v>
      </c>
    </row>
    <row r="154" ht="6" customHeight="1"/>
    <row r="155" spans="1:12" ht="15.75" customHeight="1">
      <c r="A155" s="2" t="s">
        <v>2281</v>
      </c>
      <c r="B155" s="1">
        <v>9806</v>
      </c>
      <c r="C155" s="4" t="s">
        <v>713</v>
      </c>
      <c r="D155" s="1" t="s">
        <v>2515</v>
      </c>
      <c r="E155" s="3">
        <v>1</v>
      </c>
      <c r="F155" s="4" t="s">
        <v>699</v>
      </c>
      <c r="G155" s="1" t="s">
        <v>2095</v>
      </c>
      <c r="H155" s="3">
        <v>1</v>
      </c>
      <c r="I155" s="4" t="s">
        <v>699</v>
      </c>
      <c r="J155" s="1"/>
      <c r="K155" s="1"/>
      <c r="L155" s="1"/>
    </row>
    <row r="156" spans="1:12" ht="15.75" customHeight="1">
      <c r="A156" s="2" t="s">
        <v>2282</v>
      </c>
      <c r="B156" s="1">
        <v>7000</v>
      </c>
      <c r="C156" s="4" t="s">
        <v>713</v>
      </c>
      <c r="D156" s="1" t="s">
        <v>2516</v>
      </c>
      <c r="E156" s="3">
        <v>0.2</v>
      </c>
      <c r="F156" s="4" t="s">
        <v>699</v>
      </c>
      <c r="G156" s="12" t="s">
        <v>709</v>
      </c>
      <c r="H156" s="3">
        <f>130000/10^5</f>
        <v>1.3</v>
      </c>
      <c r="I156" s="4" t="s">
        <v>701</v>
      </c>
      <c r="J156" s="1"/>
      <c r="K156" s="1"/>
      <c r="L156" s="1"/>
    </row>
    <row r="157" spans="1:12" ht="6" customHeight="1">
      <c r="A157" s="2"/>
      <c r="B157" s="1"/>
      <c r="C157" s="4"/>
      <c r="D157" s="1"/>
      <c r="E157" s="3"/>
      <c r="F157" s="4"/>
      <c r="G157" s="12"/>
      <c r="H157" s="3"/>
      <c r="I157" s="4"/>
      <c r="J157" s="1"/>
      <c r="K157" s="1"/>
      <c r="L157" s="1"/>
    </row>
    <row r="158" spans="1:12" ht="15.75" customHeight="1">
      <c r="A158" s="5" t="s">
        <v>1539</v>
      </c>
      <c r="B158" s="1"/>
      <c r="C158" s="4"/>
      <c r="D158" s="1"/>
      <c r="E158" s="3"/>
      <c r="F158" s="4"/>
      <c r="G158" s="12"/>
      <c r="H158" s="3"/>
      <c r="I158" s="4"/>
      <c r="J158" s="1"/>
      <c r="K158" s="1"/>
      <c r="L158" s="1"/>
    </row>
    <row r="159" spans="1:12" ht="6" customHeight="1">
      <c r="A159" s="1"/>
      <c r="B159" s="1"/>
      <c r="C159" s="4"/>
      <c r="D159" s="1"/>
      <c r="E159" s="3"/>
      <c r="F159" s="4"/>
      <c r="G159" s="12"/>
      <c r="H159" s="3"/>
      <c r="I159" s="4"/>
      <c r="J159" s="1"/>
      <c r="K159" s="1"/>
      <c r="L159" s="1"/>
    </row>
    <row r="160" spans="1:12" ht="15.75" customHeight="1">
      <c r="A160" s="5" t="s">
        <v>113</v>
      </c>
      <c r="B160" s="1"/>
      <c r="C160" s="4"/>
      <c r="D160" s="1"/>
      <c r="E160" s="3"/>
      <c r="F160" s="4"/>
      <c r="G160" s="12"/>
      <c r="H160" s="3"/>
      <c r="I160" s="4"/>
      <c r="J160" s="1"/>
      <c r="K160" s="1"/>
      <c r="L160" s="1"/>
    </row>
    <row r="161" spans="1:12" ht="6" customHeight="1">
      <c r="A161" s="76"/>
      <c r="B161" s="12"/>
      <c r="C161" s="14"/>
      <c r="D161" s="12"/>
      <c r="E161" s="15"/>
      <c r="F161" s="14"/>
      <c r="G161" s="12"/>
      <c r="H161" s="15"/>
      <c r="I161" s="14"/>
      <c r="J161" s="12"/>
      <c r="K161" s="12"/>
      <c r="L161" s="12"/>
    </row>
    <row r="162" spans="1:12" ht="15.75" customHeight="1">
      <c r="A162" s="4" t="s">
        <v>93</v>
      </c>
      <c r="B162" s="1"/>
      <c r="C162" s="4"/>
      <c r="D162" s="1"/>
      <c r="E162" s="3"/>
      <c r="F162" s="4"/>
      <c r="G162" s="12"/>
      <c r="H162" s="3"/>
      <c r="I162" s="4"/>
      <c r="J162" s="1"/>
      <c r="K162" s="1"/>
      <c r="L162" s="1"/>
    </row>
    <row r="163" spans="1:12" ht="15.75" customHeight="1">
      <c r="A163" s="4" t="s">
        <v>94</v>
      </c>
      <c r="B163" s="1"/>
      <c r="C163" s="4"/>
      <c r="D163" s="1"/>
      <c r="E163" s="3"/>
      <c r="F163" s="4"/>
      <c r="G163" s="12"/>
      <c r="H163" s="3"/>
      <c r="I163" s="4"/>
      <c r="J163" s="1"/>
      <c r="K163" s="1"/>
      <c r="L163" s="1"/>
    </row>
    <row r="164" spans="1:12" ht="15.75" customHeight="1">
      <c r="A164" s="4" t="s">
        <v>95</v>
      </c>
      <c r="B164" s="1"/>
      <c r="C164" s="4"/>
      <c r="D164" s="1"/>
      <c r="E164" s="3"/>
      <c r="F164" s="4"/>
      <c r="G164" s="12"/>
      <c r="H164" s="3"/>
      <c r="I164" s="4"/>
      <c r="J164" s="1"/>
      <c r="K164" s="1"/>
      <c r="L164" s="1"/>
    </row>
    <row r="165" spans="1:12" ht="15.75" customHeight="1">
      <c r="A165" s="4" t="s">
        <v>96</v>
      </c>
      <c r="B165" s="1"/>
      <c r="C165" s="4"/>
      <c r="D165" s="1"/>
      <c r="E165" s="3"/>
      <c r="F165" s="4"/>
      <c r="G165" s="12"/>
      <c r="H165" s="3"/>
      <c r="I165" s="4"/>
      <c r="J165" s="1"/>
      <c r="K165" s="1"/>
      <c r="L165" s="1"/>
    </row>
    <row r="166" spans="1:12" ht="15.75" customHeight="1">
      <c r="A166" s="4" t="s">
        <v>97</v>
      </c>
      <c r="B166" s="1"/>
      <c r="C166" s="4"/>
      <c r="D166" s="1"/>
      <c r="E166" s="3"/>
      <c r="F166" s="4"/>
      <c r="G166" s="12"/>
      <c r="H166" s="3"/>
      <c r="I166" s="4"/>
      <c r="J166" s="1"/>
      <c r="K166" s="1"/>
      <c r="L166" s="1"/>
    </row>
    <row r="167" spans="1:12" ht="15.75" customHeight="1">
      <c r="A167" s="4" t="s">
        <v>98</v>
      </c>
      <c r="B167" s="1"/>
      <c r="C167" s="4"/>
      <c r="D167" s="1"/>
      <c r="E167" s="3"/>
      <c r="F167" s="4"/>
      <c r="G167" s="12"/>
      <c r="H167" s="3"/>
      <c r="I167" s="4"/>
      <c r="J167" s="1"/>
      <c r="K167" s="1"/>
      <c r="L167" s="1"/>
    </row>
    <row r="168" spans="1:12" ht="15.75" customHeight="1">
      <c r="A168" s="4" t="s">
        <v>99</v>
      </c>
      <c r="B168" s="1"/>
      <c r="C168" s="4"/>
      <c r="D168" s="1"/>
      <c r="E168" s="3"/>
      <c r="F168" s="4"/>
      <c r="G168" s="12"/>
      <c r="H168" s="3"/>
      <c r="I168" s="4"/>
      <c r="J168" s="1"/>
      <c r="K168" s="1"/>
      <c r="L168" s="1"/>
    </row>
    <row r="169" spans="1:12" ht="15.75" customHeight="1">
      <c r="A169" s="4" t="s">
        <v>100</v>
      </c>
      <c r="B169" s="1"/>
      <c r="C169" s="4"/>
      <c r="D169" s="1"/>
      <c r="E169" s="3"/>
      <c r="F169" s="4"/>
      <c r="G169" s="12"/>
      <c r="H169" s="3"/>
      <c r="I169" s="4"/>
      <c r="J169" s="1"/>
      <c r="K169" s="1"/>
      <c r="L169" s="1"/>
    </row>
    <row r="170" spans="1:12" ht="15.75" customHeight="1">
      <c r="A170" s="4" t="s">
        <v>1581</v>
      </c>
      <c r="B170" s="1"/>
      <c r="C170" s="4"/>
      <c r="D170" s="1"/>
      <c r="E170" s="3"/>
      <c r="F170" s="4"/>
      <c r="G170" s="12"/>
      <c r="H170" s="3"/>
      <c r="I170" s="4"/>
      <c r="J170" s="1"/>
      <c r="K170" s="1"/>
      <c r="L170" s="1"/>
    </row>
    <row r="171" spans="1:12" ht="15.75" customHeight="1">
      <c r="A171" s="4" t="s">
        <v>1582</v>
      </c>
      <c r="B171" s="1"/>
      <c r="C171" s="4"/>
      <c r="D171" s="1"/>
      <c r="E171" s="3"/>
      <c r="F171" s="4"/>
      <c r="G171" s="12"/>
      <c r="H171" s="3"/>
      <c r="I171" s="4"/>
      <c r="J171" s="1"/>
      <c r="K171" s="1"/>
      <c r="L171" s="1"/>
    </row>
    <row r="172" spans="1:12" ht="15.75" customHeight="1">
      <c r="A172" s="4" t="s">
        <v>1583</v>
      </c>
      <c r="B172" s="1"/>
      <c r="C172" s="4"/>
      <c r="D172" s="1"/>
      <c r="E172" s="3"/>
      <c r="F172" s="4"/>
      <c r="G172" s="12"/>
      <c r="H172" s="3"/>
      <c r="I172" s="4"/>
      <c r="J172" s="1"/>
      <c r="K172" s="1"/>
      <c r="L172" s="1"/>
    </row>
    <row r="173" spans="1:12" ht="15.75" customHeight="1">
      <c r="A173" s="4" t="s">
        <v>1584</v>
      </c>
      <c r="B173" s="1"/>
      <c r="C173" s="4"/>
      <c r="D173" s="1"/>
      <c r="E173" s="3"/>
      <c r="F173" s="4"/>
      <c r="G173" s="12"/>
      <c r="H173" s="3"/>
      <c r="I173" s="4"/>
      <c r="J173" s="1"/>
      <c r="K173" s="1"/>
      <c r="L173" s="1"/>
    </row>
    <row r="174" spans="1:12" ht="6" customHeight="1">
      <c r="A174" s="4"/>
      <c r="B174" s="1"/>
      <c r="C174" s="4"/>
      <c r="D174" s="1"/>
      <c r="E174" s="3"/>
      <c r="F174" s="4"/>
      <c r="G174" s="12"/>
      <c r="H174" s="3"/>
      <c r="I174" s="4"/>
      <c r="J174" s="1"/>
      <c r="K174" s="1"/>
      <c r="L174" s="1"/>
    </row>
    <row r="175" spans="1:12" ht="15.75" customHeight="1">
      <c r="A175" s="4" t="s">
        <v>1585</v>
      </c>
      <c r="B175" s="1"/>
      <c r="C175" s="4"/>
      <c r="D175" s="1"/>
      <c r="E175" s="3"/>
      <c r="F175" s="4"/>
      <c r="G175" s="12"/>
      <c r="H175" s="3"/>
      <c r="I175" s="4"/>
      <c r="J175" s="1"/>
      <c r="K175" s="1"/>
      <c r="L175" s="1"/>
    </row>
    <row r="176" spans="1:12" ht="6" customHeight="1">
      <c r="A176" s="4"/>
      <c r="B176" s="1"/>
      <c r="C176" s="3"/>
      <c r="D176" s="1"/>
      <c r="E176" s="3"/>
      <c r="F176" s="4"/>
      <c r="G176" s="12"/>
      <c r="H176" s="3"/>
      <c r="I176" s="4"/>
      <c r="J176" s="1"/>
      <c r="K176" s="1"/>
      <c r="L176" s="1"/>
    </row>
    <row r="177" spans="1:12" ht="15.75" customHeight="1">
      <c r="A177" s="4" t="s">
        <v>1540</v>
      </c>
      <c r="B177" s="1"/>
      <c r="C177" s="3">
        <f>+(H156*(10^5))/B156</f>
        <v>18.571428571428573</v>
      </c>
      <c r="D177" s="4" t="s">
        <v>699</v>
      </c>
      <c r="E177" s="92" t="s">
        <v>1586</v>
      </c>
      <c r="F177" s="4"/>
      <c r="G177" s="12"/>
      <c r="H177" s="3"/>
      <c r="I177" s="4"/>
      <c r="J177" s="1"/>
      <c r="K177" s="1"/>
      <c r="L177" s="1"/>
    </row>
    <row r="178" spans="1:12" ht="15.75" customHeight="1">
      <c r="A178" s="5"/>
      <c r="B178" s="1"/>
      <c r="C178" s="4"/>
      <c r="D178" s="1"/>
      <c r="E178" s="92" t="s">
        <v>1587</v>
      </c>
      <c r="F178" s="4"/>
      <c r="G178" s="12"/>
      <c r="H178" s="3"/>
      <c r="I178" s="4"/>
      <c r="J178" s="1"/>
      <c r="K178" s="1"/>
      <c r="L178" s="1"/>
    </row>
    <row r="179" spans="1:12" ht="6" customHeight="1">
      <c r="A179" s="5"/>
      <c r="B179" s="1"/>
      <c r="C179" s="4"/>
      <c r="D179" s="1"/>
      <c r="E179" s="3"/>
      <c r="F179" s="4"/>
      <c r="G179" s="12"/>
      <c r="H179" s="3"/>
      <c r="I179" s="4"/>
      <c r="J179" s="1"/>
      <c r="K179" s="1"/>
      <c r="L179" s="1"/>
    </row>
    <row r="180" spans="1:13" ht="15.75" customHeight="1">
      <c r="A180" s="92" t="s">
        <v>1588</v>
      </c>
      <c r="B180" s="1"/>
      <c r="C180" s="1"/>
      <c r="D180" s="1"/>
      <c r="E180" s="3"/>
      <c r="F180" s="4"/>
      <c r="G180" s="1"/>
      <c r="H180" s="92" t="s">
        <v>1589</v>
      </c>
      <c r="I180" s="1"/>
      <c r="J180" s="4"/>
      <c r="K180" s="1"/>
      <c r="L180" s="1"/>
      <c r="M180" s="1"/>
    </row>
    <row r="181" spans="1:13" ht="6" customHeight="1">
      <c r="A181" s="92"/>
      <c r="B181" s="1"/>
      <c r="C181" s="1"/>
      <c r="D181" s="1"/>
      <c r="E181" s="3"/>
      <c r="F181" s="4"/>
      <c r="G181" s="1"/>
      <c r="H181" s="1"/>
      <c r="I181" s="1"/>
      <c r="J181" s="1"/>
      <c r="K181" s="1"/>
      <c r="L181" s="1"/>
      <c r="M181" s="1"/>
    </row>
    <row r="182" spans="1:13" ht="15.75" customHeight="1">
      <c r="A182" s="4" t="s">
        <v>1541</v>
      </c>
      <c r="C182" s="3">
        <f>+C177+H155</f>
        <v>19.571428571428573</v>
      </c>
      <c r="D182" s="4" t="s">
        <v>699</v>
      </c>
      <c r="E182" s="3"/>
      <c r="F182" s="4"/>
      <c r="G182" s="1"/>
      <c r="H182" s="4" t="s">
        <v>1559</v>
      </c>
      <c r="I182" s="1"/>
      <c r="J182" s="6">
        <f>+B156*C182</f>
        <v>137000</v>
      </c>
      <c r="K182" s="4" t="s">
        <v>700</v>
      </c>
      <c r="L182" s="1"/>
      <c r="M182" s="1"/>
    </row>
    <row r="183" spans="1:13" ht="6" customHeight="1">
      <c r="A183" s="4"/>
      <c r="B183" s="1"/>
      <c r="C183" s="1"/>
      <c r="D183" s="1"/>
      <c r="E183" s="3"/>
      <c r="F183" s="4"/>
      <c r="G183" s="1"/>
      <c r="H183" s="1"/>
      <c r="I183" s="1"/>
      <c r="J183" s="1"/>
      <c r="K183" s="1"/>
      <c r="L183" s="1"/>
      <c r="M183" s="1"/>
    </row>
    <row r="184" spans="1:13" ht="15.75" customHeight="1">
      <c r="A184" s="4" t="s">
        <v>2444</v>
      </c>
      <c r="B184" s="4"/>
      <c r="C184" s="337"/>
      <c r="D184" s="1"/>
      <c r="E184" s="3"/>
      <c r="F184" s="4"/>
      <c r="G184" s="1"/>
      <c r="H184" s="4" t="s">
        <v>2445</v>
      </c>
      <c r="I184" s="1"/>
      <c r="J184" s="1"/>
      <c r="K184" s="1"/>
      <c r="L184" s="1"/>
      <c r="M184" s="1"/>
    </row>
    <row r="185" spans="1:13" ht="6" customHeight="1">
      <c r="A185" s="1"/>
      <c r="B185" s="4"/>
      <c r="C185" s="1"/>
      <c r="D185" s="1"/>
      <c r="E185" s="3"/>
      <c r="F185" s="4"/>
      <c r="G185" s="1"/>
      <c r="H185" s="75"/>
      <c r="I185" s="1"/>
      <c r="J185" s="1"/>
      <c r="K185" s="1"/>
      <c r="L185" s="1"/>
      <c r="M185" s="1"/>
    </row>
    <row r="186" spans="1:13" ht="15.75" customHeight="1">
      <c r="A186" s="4" t="s">
        <v>1563</v>
      </c>
      <c r="B186" s="4"/>
      <c r="C186" s="3">
        <f>+PI()*(E156^2)/4</f>
        <v>0.031415926535897934</v>
      </c>
      <c r="D186" s="4" t="s">
        <v>108</v>
      </c>
      <c r="E186" s="3"/>
      <c r="F186" s="4"/>
      <c r="G186" s="1"/>
      <c r="H186" s="4" t="s">
        <v>1549</v>
      </c>
      <c r="I186" s="1"/>
      <c r="J186" s="6">
        <f>+J182*C186</f>
        <v>4303.981935418017</v>
      </c>
      <c r="K186" s="22" t="s">
        <v>704</v>
      </c>
      <c r="L186" s="1"/>
      <c r="M186" s="1"/>
    </row>
    <row r="187" spans="1:13" ht="6" customHeight="1">
      <c r="A187" s="4"/>
      <c r="B187" s="1"/>
      <c r="C187" s="1"/>
      <c r="D187" s="1"/>
      <c r="E187" s="3"/>
      <c r="F187" s="4"/>
      <c r="G187" s="1"/>
      <c r="H187" s="1"/>
      <c r="I187" s="1"/>
      <c r="J187" s="1"/>
      <c r="K187" s="1"/>
      <c r="L187" s="1"/>
      <c r="M187" s="1"/>
    </row>
    <row r="188" spans="1:13" ht="15.75" customHeight="1">
      <c r="A188" s="4"/>
      <c r="B188" s="1"/>
      <c r="C188" s="1"/>
      <c r="D188" s="1"/>
      <c r="E188" s="3"/>
      <c r="F188" s="4"/>
      <c r="G188" s="1"/>
      <c r="H188" s="4" t="s">
        <v>1590</v>
      </c>
      <c r="I188" s="1"/>
      <c r="J188" s="1"/>
      <c r="K188" s="1"/>
      <c r="L188" s="1"/>
      <c r="M188" s="1"/>
    </row>
    <row r="189" spans="1:13" ht="15.75" customHeight="1">
      <c r="A189" s="4"/>
      <c r="B189" s="1"/>
      <c r="C189" s="1"/>
      <c r="D189" s="1"/>
      <c r="E189" s="3"/>
      <c r="F189" s="4"/>
      <c r="G189" s="1"/>
      <c r="H189" s="4" t="s">
        <v>1591</v>
      </c>
      <c r="I189" s="1"/>
      <c r="J189" s="1"/>
      <c r="K189" s="1"/>
      <c r="L189" s="1"/>
      <c r="M189" s="1"/>
    </row>
    <row r="190" spans="1:13" ht="15.75" customHeight="1">
      <c r="A190" s="4"/>
      <c r="B190" s="1"/>
      <c r="C190" s="1"/>
      <c r="D190" s="1"/>
      <c r="E190" s="3"/>
      <c r="F190" s="4"/>
      <c r="G190" s="1"/>
      <c r="H190" s="4" t="s">
        <v>1592</v>
      </c>
      <c r="I190" s="1"/>
      <c r="J190" s="1"/>
      <c r="K190" s="1"/>
      <c r="L190" s="1"/>
      <c r="M190" s="1"/>
    </row>
    <row r="191" spans="1:13" ht="6" customHeight="1">
      <c r="A191" s="4"/>
      <c r="B191" s="1"/>
      <c r="C191" s="1"/>
      <c r="D191" s="1"/>
      <c r="E191" s="3"/>
      <c r="F191" s="4"/>
      <c r="G191" s="1"/>
      <c r="H191" s="4"/>
      <c r="I191" s="1"/>
      <c r="J191" s="1"/>
      <c r="K191" s="1"/>
      <c r="L191" s="1"/>
      <c r="M191" s="1"/>
    </row>
    <row r="192" spans="1:13" ht="15.75" customHeight="1">
      <c r="A192" s="4" t="s">
        <v>1593</v>
      </c>
      <c r="B192" s="1"/>
      <c r="C192" s="1"/>
      <c r="D192" s="1"/>
      <c r="E192" s="3"/>
      <c r="F192" s="4"/>
      <c r="G192" s="1"/>
      <c r="H192" s="4"/>
      <c r="I192" s="1"/>
      <c r="J192" s="1"/>
      <c r="K192" s="1"/>
      <c r="L192" s="1"/>
      <c r="M192" s="1"/>
    </row>
    <row r="193" spans="1:13" ht="15.75" customHeight="1">
      <c r="A193" s="4" t="s">
        <v>1594</v>
      </c>
      <c r="B193" s="1"/>
      <c r="C193" s="1"/>
      <c r="D193" s="1"/>
      <c r="E193" s="3"/>
      <c r="F193" s="4"/>
      <c r="G193" s="1"/>
      <c r="H193" s="4"/>
      <c r="I193" s="1"/>
      <c r="J193" s="1"/>
      <c r="K193" s="1"/>
      <c r="L193" s="1"/>
      <c r="M193" s="1"/>
    </row>
    <row r="194" spans="1:13" ht="6" customHeight="1">
      <c r="A194" s="4"/>
      <c r="B194" s="1"/>
      <c r="C194" s="1"/>
      <c r="D194" s="1"/>
      <c r="E194" s="3"/>
      <c r="F194" s="4"/>
      <c r="G194" s="1"/>
      <c r="H194" s="4"/>
      <c r="I194" s="1"/>
      <c r="J194" s="1"/>
      <c r="K194" s="1"/>
      <c r="L194" s="1"/>
      <c r="M194" s="1"/>
    </row>
    <row r="195" spans="1:13" ht="15.75" customHeight="1">
      <c r="A195" s="1" t="s">
        <v>499</v>
      </c>
      <c r="B195" s="6">
        <f>+J186</f>
        <v>4303.981935418017</v>
      </c>
      <c r="C195" s="22" t="s">
        <v>704</v>
      </c>
      <c r="D195" s="1"/>
      <c r="E195" s="92" t="s">
        <v>1551</v>
      </c>
      <c r="F195" s="4"/>
      <c r="G195" s="1"/>
      <c r="H195" s="4"/>
      <c r="I195" s="1"/>
      <c r="J195" s="1"/>
      <c r="K195" s="1"/>
      <c r="L195" s="1"/>
      <c r="M195" s="1"/>
    </row>
    <row r="196" spans="1:13" ht="6" customHeight="1">
      <c r="A196" s="4"/>
      <c r="B196" s="1"/>
      <c r="C196" s="1"/>
      <c r="D196" s="1"/>
      <c r="E196" s="3"/>
      <c r="F196" s="4"/>
      <c r="G196" s="1"/>
      <c r="H196" s="4"/>
      <c r="I196" s="1"/>
      <c r="J196" s="1"/>
      <c r="K196" s="1"/>
      <c r="L196" s="1"/>
      <c r="M196" s="1"/>
    </row>
    <row r="197" spans="1:12" ht="15.75" customHeight="1">
      <c r="A197" s="4" t="s">
        <v>1595</v>
      </c>
      <c r="B197" s="1"/>
      <c r="C197" s="4"/>
      <c r="D197" s="1"/>
      <c r="E197" s="3"/>
      <c r="F197" s="4"/>
      <c r="G197" s="12"/>
      <c r="H197" s="3"/>
      <c r="I197" s="4"/>
      <c r="J197" s="1"/>
      <c r="K197" s="1"/>
      <c r="L197" s="1"/>
    </row>
    <row r="198" spans="1:12" ht="15.75" customHeight="1">
      <c r="A198" s="4" t="s">
        <v>1596</v>
      </c>
      <c r="B198" s="1"/>
      <c r="C198" s="4"/>
      <c r="D198" s="1"/>
      <c r="E198" s="3"/>
      <c r="F198" s="4"/>
      <c r="G198" s="12"/>
      <c r="H198" s="3"/>
      <c r="I198" s="4"/>
      <c r="J198" s="1"/>
      <c r="K198" s="1"/>
      <c r="L198" s="1"/>
    </row>
    <row r="199" spans="1:12" ht="15.75" customHeight="1">
      <c r="A199" s="4" t="s">
        <v>1597</v>
      </c>
      <c r="B199" s="1"/>
      <c r="C199" s="4"/>
      <c r="D199" s="1"/>
      <c r="E199" s="3"/>
      <c r="F199" s="4"/>
      <c r="G199" s="12"/>
      <c r="H199" s="3"/>
      <c r="I199" s="4"/>
      <c r="J199" s="1"/>
      <c r="K199" s="1"/>
      <c r="L199" s="1"/>
    </row>
    <row r="200" spans="1:12" ht="15.75" customHeight="1">
      <c r="A200" s="4" t="s">
        <v>1552</v>
      </c>
      <c r="B200" s="1"/>
      <c r="C200" s="4"/>
      <c r="D200" s="1"/>
      <c r="E200" s="3"/>
      <c r="F200" s="4"/>
      <c r="G200" s="12"/>
      <c r="H200" s="3"/>
      <c r="I200" s="4"/>
      <c r="J200" s="1"/>
      <c r="K200" s="1"/>
      <c r="L200" s="1"/>
    </row>
    <row r="201" spans="3:12" ht="6" customHeight="1">
      <c r="C201" s="4"/>
      <c r="D201" s="1"/>
      <c r="E201" s="3"/>
      <c r="F201" s="4"/>
      <c r="G201" s="12"/>
      <c r="H201" s="3"/>
      <c r="I201" s="4"/>
      <c r="J201" s="1"/>
      <c r="K201" s="1"/>
      <c r="L201" s="1"/>
    </row>
    <row r="202" spans="1:12" ht="15.75" customHeight="1">
      <c r="A202" s="4"/>
      <c r="B202" s="5" t="s">
        <v>1553</v>
      </c>
      <c r="C202" s="4"/>
      <c r="D202" s="4" t="s">
        <v>1554</v>
      </c>
      <c r="E202" s="92"/>
      <c r="F202" s="4"/>
      <c r="G202" s="12"/>
      <c r="H202" s="12" t="s">
        <v>1555</v>
      </c>
      <c r="I202" s="6">
        <f>+B195</f>
        <v>4303.981935418017</v>
      </c>
      <c r="J202" s="22" t="s">
        <v>704</v>
      </c>
      <c r="K202" s="1"/>
      <c r="L202" s="1"/>
    </row>
    <row r="203" spans="1:12" ht="6" customHeight="1">
      <c r="A203" s="4"/>
      <c r="B203" s="1"/>
      <c r="C203" s="4"/>
      <c r="D203" s="1"/>
      <c r="E203" s="3"/>
      <c r="F203" s="4"/>
      <c r="G203" s="12"/>
      <c r="H203" s="3"/>
      <c r="I203" s="4"/>
      <c r="J203" s="1"/>
      <c r="K203" s="1"/>
      <c r="L203" s="1"/>
    </row>
    <row r="204" spans="1:12" ht="15.75" customHeight="1">
      <c r="A204" s="5"/>
      <c r="B204" s="1"/>
      <c r="C204" s="4"/>
      <c r="D204" s="1"/>
      <c r="E204" s="3"/>
      <c r="F204" s="4"/>
      <c r="G204" s="12"/>
      <c r="H204" s="12" t="s">
        <v>500</v>
      </c>
      <c r="I204" s="1" t="s">
        <v>1360</v>
      </c>
      <c r="J204" s="1"/>
      <c r="K204" s="1"/>
      <c r="L204" s="1"/>
    </row>
    <row r="205" spans="1:12" ht="6" customHeight="1">
      <c r="A205" s="5"/>
      <c r="B205" s="1"/>
      <c r="C205" s="4"/>
      <c r="D205" s="1"/>
      <c r="E205" s="3"/>
      <c r="F205" s="4"/>
      <c r="G205" s="12"/>
      <c r="H205" s="3"/>
      <c r="I205" s="4"/>
      <c r="J205" s="1"/>
      <c r="K205" s="1"/>
      <c r="L205" s="1"/>
    </row>
    <row r="206" spans="1:12" ht="15.75" customHeight="1">
      <c r="A206" s="4" t="s">
        <v>1598</v>
      </c>
      <c r="B206" s="1"/>
      <c r="C206" s="4"/>
      <c r="D206" s="1"/>
      <c r="E206" s="3"/>
      <c r="F206" s="4"/>
      <c r="G206" s="12"/>
      <c r="H206" s="3"/>
      <c r="I206" s="4"/>
      <c r="J206" s="1"/>
      <c r="K206" s="1"/>
      <c r="L206" s="1"/>
    </row>
    <row r="207" spans="1:12" ht="15.75" customHeight="1">
      <c r="A207" s="4" t="s">
        <v>1599</v>
      </c>
      <c r="B207" s="1"/>
      <c r="C207" s="4"/>
      <c r="D207" s="1"/>
      <c r="E207" s="3"/>
      <c r="F207" s="4"/>
      <c r="G207" s="12"/>
      <c r="H207" s="3"/>
      <c r="I207" s="4"/>
      <c r="J207" s="1"/>
      <c r="K207" s="1"/>
      <c r="L207" s="1"/>
    </row>
    <row r="208" spans="1:12" ht="6" customHeight="1">
      <c r="A208" s="5"/>
      <c r="B208" s="1"/>
      <c r="C208" s="4"/>
      <c r="D208" s="1"/>
      <c r="E208" s="3"/>
      <c r="F208" s="4"/>
      <c r="G208" s="12"/>
      <c r="H208" s="3"/>
      <c r="I208" s="4"/>
      <c r="J208" s="1"/>
      <c r="K208" s="1"/>
      <c r="L208" s="1"/>
    </row>
    <row r="209" spans="1:12" ht="15.75" customHeight="1">
      <c r="A209" s="4" t="s">
        <v>1556</v>
      </c>
      <c r="B209" s="4"/>
      <c r="C209" s="6">
        <f>+I202</f>
        <v>4303.981935418017</v>
      </c>
      <c r="D209" s="22" t="s">
        <v>704</v>
      </c>
      <c r="F209" s="4" t="s">
        <v>1600</v>
      </c>
      <c r="H209" s="3"/>
      <c r="I209" s="4"/>
      <c r="J209" s="1"/>
      <c r="K209" s="1"/>
      <c r="L209" s="1"/>
    </row>
    <row r="210" spans="1:12" ht="15.75" customHeight="1">
      <c r="A210" s="5"/>
      <c r="B210" s="1"/>
      <c r="C210" s="4"/>
      <c r="D210" s="1"/>
      <c r="E210" s="3"/>
      <c r="F210" s="4" t="s">
        <v>1601</v>
      </c>
      <c r="H210" s="3"/>
      <c r="I210" s="4"/>
      <c r="J210" s="1"/>
      <c r="K210" s="1"/>
      <c r="L210" s="1"/>
    </row>
    <row r="211" spans="1:12" ht="6" customHeight="1">
      <c r="A211" s="5"/>
      <c r="B211" s="1"/>
      <c r="C211" s="4"/>
      <c r="D211" s="1"/>
      <c r="E211" s="3"/>
      <c r="F211" s="4"/>
      <c r="H211" s="3"/>
      <c r="I211" s="4"/>
      <c r="J211" s="1"/>
      <c r="K211" s="1"/>
      <c r="L211" s="1"/>
    </row>
    <row r="212" spans="1:12" ht="15.75" customHeight="1">
      <c r="A212" s="4" t="s">
        <v>2462</v>
      </c>
      <c r="B212" s="1"/>
      <c r="C212" s="4"/>
      <c r="D212" s="1"/>
      <c r="E212" s="3"/>
      <c r="F212" s="4"/>
      <c r="H212" s="3"/>
      <c r="I212" s="4"/>
      <c r="J212" s="1"/>
      <c r="K212" s="1"/>
      <c r="L212" s="1"/>
    </row>
    <row r="213" spans="1:12" ht="6" customHeight="1">
      <c r="A213" s="5"/>
      <c r="B213" s="1"/>
      <c r="C213" s="4"/>
      <c r="D213" s="1"/>
      <c r="E213" s="3"/>
      <c r="F213" s="4"/>
      <c r="H213" s="3"/>
      <c r="I213" s="4"/>
      <c r="J213" s="1"/>
      <c r="K213" s="1"/>
      <c r="L213" s="1"/>
    </row>
    <row r="214" spans="1:12" ht="15.75" customHeight="1">
      <c r="A214" s="4" t="s">
        <v>1557</v>
      </c>
      <c r="C214" s="3">
        <f>+C209/(B155*C186)</f>
        <v>13.97103813991434</v>
      </c>
      <c r="D214" s="4" t="s">
        <v>699</v>
      </c>
      <c r="E214" s="92" t="s">
        <v>1604</v>
      </c>
      <c r="F214" s="4"/>
      <c r="H214" s="3"/>
      <c r="I214" s="4"/>
      <c r="J214" s="1"/>
      <c r="K214" s="1"/>
      <c r="L214" s="1"/>
    </row>
    <row r="215" spans="1:12" ht="15.75" customHeight="1">
      <c r="A215" s="5"/>
      <c r="B215" s="1"/>
      <c r="C215" s="4"/>
      <c r="D215" s="1"/>
      <c r="E215" s="92" t="s">
        <v>1605</v>
      </c>
      <c r="F215" s="4"/>
      <c r="H215" s="3"/>
      <c r="I215" s="4"/>
      <c r="J215" s="1"/>
      <c r="K215" s="1"/>
      <c r="L215" s="1"/>
    </row>
    <row r="216" spans="1:12" ht="6" customHeight="1">
      <c r="A216" s="1"/>
      <c r="B216" s="1"/>
      <c r="C216" s="4"/>
      <c r="D216" s="1"/>
      <c r="E216" s="1"/>
      <c r="F216" s="4"/>
      <c r="G216" s="1"/>
      <c r="H216" s="1"/>
      <c r="I216" s="1"/>
      <c r="J216" s="1"/>
      <c r="K216" s="1"/>
      <c r="L216" s="1"/>
    </row>
    <row r="217" spans="1:12" ht="15.75" customHeight="1">
      <c r="A217" s="4" t="s">
        <v>1558</v>
      </c>
      <c r="B217" s="1"/>
      <c r="C217" s="1"/>
      <c r="D217" s="1"/>
      <c r="E217" s="4"/>
      <c r="F217" s="1"/>
      <c r="G217" s="1"/>
      <c r="H217" s="1"/>
      <c r="I217" s="4"/>
      <c r="J217" s="1"/>
      <c r="K217" s="1"/>
      <c r="L217" s="1"/>
    </row>
    <row r="218" spans="1:12" ht="6" customHeight="1">
      <c r="A218" s="1"/>
      <c r="B218" s="1"/>
      <c r="C218" s="4"/>
      <c r="D218" s="1"/>
      <c r="E218" s="1"/>
      <c r="F218" s="4"/>
      <c r="G218" s="1"/>
      <c r="H218" s="1"/>
      <c r="I218" s="1"/>
      <c r="J218" s="1"/>
      <c r="K218" s="1"/>
      <c r="L218" s="1"/>
    </row>
    <row r="219" spans="1:12" ht="15.75" customHeight="1">
      <c r="A219" s="92" t="s">
        <v>1602</v>
      </c>
      <c r="B219" s="1"/>
      <c r="C219" s="1"/>
      <c r="D219" s="1"/>
      <c r="E219" s="3"/>
      <c r="F219" s="4"/>
      <c r="G219" s="92" t="s">
        <v>632</v>
      </c>
      <c r="I219" s="1"/>
      <c r="J219" s="4"/>
      <c r="K219" s="1"/>
      <c r="L219" s="1"/>
    </row>
    <row r="220" spans="1:12" ht="15.75" customHeight="1">
      <c r="A220" s="92" t="s">
        <v>1603</v>
      </c>
      <c r="B220" s="1"/>
      <c r="C220" s="1"/>
      <c r="D220" s="1"/>
      <c r="E220" s="3"/>
      <c r="F220" s="4"/>
      <c r="G220" s="92"/>
      <c r="I220" s="1"/>
      <c r="J220" s="4"/>
      <c r="K220" s="1"/>
      <c r="L220" s="1"/>
    </row>
    <row r="221" spans="1:12" ht="6" customHeight="1">
      <c r="A221" s="92"/>
      <c r="B221" s="1"/>
      <c r="C221" s="1"/>
      <c r="D221" s="1"/>
      <c r="E221" s="3"/>
      <c r="F221" s="4"/>
      <c r="G221" s="1"/>
      <c r="I221" s="1"/>
      <c r="J221" s="1"/>
      <c r="K221" s="1"/>
      <c r="L221" s="1"/>
    </row>
    <row r="222" spans="1:12" ht="15.75" customHeight="1">
      <c r="A222" s="4" t="s">
        <v>1560</v>
      </c>
      <c r="C222" s="3">
        <f>+C214</f>
        <v>13.97103813991434</v>
      </c>
      <c r="D222" s="4" t="s">
        <v>699</v>
      </c>
      <c r="E222" s="3"/>
      <c r="F222" s="4"/>
      <c r="G222" s="4" t="s">
        <v>1542</v>
      </c>
      <c r="I222" s="1"/>
      <c r="J222" s="6">
        <f>+B155*C222</f>
        <v>137000.00000000003</v>
      </c>
      <c r="K222" s="4" t="s">
        <v>700</v>
      </c>
      <c r="L222" s="1"/>
    </row>
    <row r="223" spans="1:12" ht="6" customHeight="1">
      <c r="A223" s="4"/>
      <c r="B223" s="1"/>
      <c r="C223" s="1"/>
      <c r="D223" s="1"/>
      <c r="E223" s="3"/>
      <c r="F223" s="4"/>
      <c r="G223" s="1"/>
      <c r="I223" s="1"/>
      <c r="J223" s="1"/>
      <c r="K223" s="1"/>
      <c r="L223" s="1"/>
    </row>
    <row r="224" spans="1:12" ht="15.75" customHeight="1">
      <c r="A224" s="4" t="s">
        <v>1561</v>
      </c>
      <c r="B224" s="4"/>
      <c r="C224" s="337"/>
      <c r="D224" s="1"/>
      <c r="E224" s="3"/>
      <c r="F224" s="4"/>
      <c r="G224" s="4" t="s">
        <v>2428</v>
      </c>
      <c r="I224" s="1"/>
      <c r="J224" s="1"/>
      <c r="K224" s="1"/>
      <c r="L224" s="1"/>
    </row>
    <row r="225" spans="1:12" ht="6" customHeight="1">
      <c r="A225" s="1"/>
      <c r="B225" s="4"/>
      <c r="C225" s="1"/>
      <c r="D225" s="1"/>
      <c r="E225" s="3"/>
      <c r="F225" s="4"/>
      <c r="G225" s="75"/>
      <c r="I225" s="1"/>
      <c r="J225" s="1"/>
      <c r="K225" s="1"/>
      <c r="L225" s="1"/>
    </row>
    <row r="226" spans="1:12" ht="15.75" customHeight="1">
      <c r="A226" s="4" t="s">
        <v>1562</v>
      </c>
      <c r="B226" s="4"/>
      <c r="C226" s="3">
        <f>+PI()*(E155^2)/4</f>
        <v>0.7853981633974483</v>
      </c>
      <c r="D226" s="4" t="s">
        <v>108</v>
      </c>
      <c r="E226" s="3"/>
      <c r="F226" s="4"/>
      <c r="G226" s="4" t="s">
        <v>1948</v>
      </c>
      <c r="I226" s="1"/>
      <c r="J226" s="6">
        <f>+J222*C226</f>
        <v>107599.54838545044</v>
      </c>
      <c r="K226" s="22" t="s">
        <v>704</v>
      </c>
      <c r="L226" s="1"/>
    </row>
    <row r="227" spans="1:12" ht="6" customHeight="1">
      <c r="A227" s="4"/>
      <c r="B227" s="1"/>
      <c r="C227" s="1"/>
      <c r="D227" s="1"/>
      <c r="E227" s="3"/>
      <c r="F227" s="4"/>
      <c r="G227" s="1"/>
      <c r="I227" s="1"/>
      <c r="J227" s="1"/>
      <c r="K227" s="1"/>
      <c r="L227" s="1"/>
    </row>
    <row r="228" spans="1:12" ht="15.75" customHeight="1">
      <c r="A228" s="4"/>
      <c r="B228" s="1"/>
      <c r="C228" s="1"/>
      <c r="D228" s="1"/>
      <c r="E228" s="3"/>
      <c r="F228" s="4"/>
      <c r="G228" s="4" t="s">
        <v>1550</v>
      </c>
      <c r="I228" s="1"/>
      <c r="J228" s="1"/>
      <c r="K228" s="1"/>
      <c r="L228" s="1"/>
    </row>
    <row r="229" spans="1:12" ht="15.75" customHeight="1">
      <c r="A229" s="4"/>
      <c r="B229" s="1"/>
      <c r="C229" s="1"/>
      <c r="D229" s="1"/>
      <c r="E229" s="3"/>
      <c r="F229" s="4"/>
      <c r="G229" s="4" t="s">
        <v>2431</v>
      </c>
      <c r="I229" s="1"/>
      <c r="J229" s="1"/>
      <c r="K229" s="1"/>
      <c r="L229" s="1"/>
    </row>
    <row r="230" spans="1:12" ht="15.75" customHeight="1">
      <c r="A230" s="4"/>
      <c r="B230" s="1"/>
      <c r="C230" s="1"/>
      <c r="D230" s="1"/>
      <c r="E230" s="3"/>
      <c r="F230" s="4"/>
      <c r="G230" s="4" t="s">
        <v>635</v>
      </c>
      <c r="I230" s="1"/>
      <c r="J230" s="1"/>
      <c r="K230" s="1"/>
      <c r="L230" s="1"/>
    </row>
    <row r="231" spans="1:12" ht="6" customHeight="1">
      <c r="A231" s="21"/>
      <c r="B231" s="1"/>
      <c r="C231" s="1"/>
      <c r="D231" s="1"/>
      <c r="E231" s="5"/>
      <c r="F231" s="1"/>
      <c r="G231" s="1"/>
      <c r="H231" s="5"/>
      <c r="I231" s="1"/>
      <c r="J231" s="5"/>
      <c r="K231" s="1"/>
      <c r="L231" s="12"/>
    </row>
    <row r="232" spans="1:12" ht="15.75" customHeight="1">
      <c r="A232" s="4" t="s">
        <v>1949</v>
      </c>
      <c r="B232" s="1"/>
      <c r="C232" s="1"/>
      <c r="D232" s="1"/>
      <c r="E232" s="5"/>
      <c r="F232" s="1"/>
      <c r="G232" s="1"/>
      <c r="H232" s="5"/>
      <c r="I232" s="1"/>
      <c r="J232" s="5"/>
      <c r="K232" s="1"/>
      <c r="L232" s="12"/>
    </row>
    <row r="233" spans="1:12" ht="6" customHeight="1">
      <c r="A233" s="1"/>
      <c r="B233" s="1"/>
      <c r="C233" s="1"/>
      <c r="D233" s="1"/>
      <c r="E233" s="3"/>
      <c r="F233" s="4"/>
      <c r="G233" s="1"/>
      <c r="H233" s="1"/>
      <c r="I233" s="1"/>
      <c r="J233" s="5"/>
      <c r="K233" s="1"/>
      <c r="L233" s="12"/>
    </row>
    <row r="234" spans="1:9" ht="15.75" customHeight="1">
      <c r="A234" s="1"/>
      <c r="B234" s="10" t="s">
        <v>1950</v>
      </c>
      <c r="C234" s="11">
        <f>+J226</f>
        <v>107599.54838545044</v>
      </c>
      <c r="D234" s="23" t="s">
        <v>704</v>
      </c>
      <c r="E234" s="3"/>
      <c r="F234" s="4"/>
      <c r="G234" s="1"/>
      <c r="H234" s="6"/>
      <c r="I234" s="22"/>
    </row>
    <row r="235" spans="1:12" ht="6" customHeight="1">
      <c r="A235" s="21"/>
      <c r="B235" s="1"/>
      <c r="C235" s="1"/>
      <c r="D235" s="12"/>
      <c r="E235" s="12"/>
      <c r="F235" s="12"/>
      <c r="G235" s="5"/>
      <c r="H235" s="1"/>
      <c r="I235" s="1"/>
      <c r="J235" s="5"/>
      <c r="K235" s="1"/>
      <c r="L235" s="12"/>
    </row>
    <row r="236" spans="1:12" ht="6" customHeight="1">
      <c r="A236" s="127"/>
      <c r="B236" s="87"/>
      <c r="C236" s="87"/>
      <c r="D236" s="87"/>
      <c r="E236" s="87"/>
      <c r="F236" s="87"/>
      <c r="G236" s="128"/>
      <c r="H236" s="87"/>
      <c r="I236" s="87"/>
      <c r="J236" s="128"/>
      <c r="K236" s="87"/>
      <c r="L236" s="87"/>
    </row>
    <row r="237" ht="6" customHeight="1"/>
    <row r="238" ht="15.75" customHeight="1">
      <c r="A238" s="85" t="s">
        <v>1628</v>
      </c>
    </row>
    <row r="239" ht="6" customHeight="1">
      <c r="A239" s="5"/>
    </row>
    <row r="240" ht="15.75" customHeight="1">
      <c r="A240" s="5" t="s">
        <v>112</v>
      </c>
    </row>
    <row r="241" ht="6" customHeight="1"/>
    <row r="242" spans="1:9" ht="15.75" customHeight="1">
      <c r="A242" s="16" t="s">
        <v>2281</v>
      </c>
      <c r="B242" s="12">
        <v>9806</v>
      </c>
      <c r="C242" s="14" t="s">
        <v>713</v>
      </c>
      <c r="D242" s="12" t="s">
        <v>2320</v>
      </c>
      <c r="E242" s="15">
        <v>2.2</v>
      </c>
      <c r="F242" s="25" t="s">
        <v>699</v>
      </c>
      <c r="G242" s="12" t="s">
        <v>2515</v>
      </c>
      <c r="H242" s="15">
        <v>1</v>
      </c>
      <c r="I242" s="25" t="s">
        <v>699</v>
      </c>
    </row>
    <row r="243" spans="1:12" ht="15.75" customHeight="1">
      <c r="A243" s="16" t="s">
        <v>2282</v>
      </c>
      <c r="B243" s="12">
        <v>7000</v>
      </c>
      <c r="C243" s="14" t="s">
        <v>713</v>
      </c>
      <c r="D243" s="12" t="s">
        <v>2321</v>
      </c>
      <c r="E243" s="15">
        <v>0.4</v>
      </c>
      <c r="F243" s="25" t="s">
        <v>699</v>
      </c>
      <c r="G243" s="12" t="s">
        <v>2516</v>
      </c>
      <c r="H243" s="15">
        <v>0.2</v>
      </c>
      <c r="I243" s="25" t="s">
        <v>699</v>
      </c>
      <c r="J243" s="12"/>
      <c r="K243" s="12"/>
      <c r="L243" s="12"/>
    </row>
    <row r="244" spans="1:12" ht="15.75" customHeight="1">
      <c r="A244" s="16" t="s">
        <v>2322</v>
      </c>
      <c r="B244" s="12">
        <v>20000</v>
      </c>
      <c r="C244" s="14" t="s">
        <v>713</v>
      </c>
      <c r="D244" s="12" t="s">
        <v>2323</v>
      </c>
      <c r="E244" s="15">
        <v>0.6</v>
      </c>
      <c r="F244" s="25" t="s">
        <v>699</v>
      </c>
      <c r="G244" s="12" t="s">
        <v>711</v>
      </c>
      <c r="H244" s="15">
        <v>2.5</v>
      </c>
      <c r="I244" s="25" t="s">
        <v>699</v>
      </c>
      <c r="J244" s="12"/>
      <c r="K244" s="15"/>
      <c r="L244" s="14"/>
    </row>
    <row r="245" spans="1:12" ht="15.75" customHeight="1">
      <c r="A245" s="16" t="s">
        <v>705</v>
      </c>
      <c r="B245" s="13">
        <v>30</v>
      </c>
      <c r="C245" s="14" t="s">
        <v>706</v>
      </c>
      <c r="D245" s="12" t="s">
        <v>2324</v>
      </c>
      <c r="E245" s="15">
        <v>0.5</v>
      </c>
      <c r="F245" s="25" t="s">
        <v>699</v>
      </c>
      <c r="G245" s="12" t="s">
        <v>709</v>
      </c>
      <c r="H245" s="12">
        <f>130000/10^5</f>
        <v>1.3</v>
      </c>
      <c r="I245" s="25" t="s">
        <v>701</v>
      </c>
      <c r="J245" s="12"/>
      <c r="K245" s="15"/>
      <c r="L245" s="14"/>
    </row>
    <row r="246" spans="1:12" ht="15.75" customHeight="1">
      <c r="A246" s="12" t="s">
        <v>2095</v>
      </c>
      <c r="B246" s="15">
        <v>1</v>
      </c>
      <c r="C246" s="14" t="s">
        <v>699</v>
      </c>
      <c r="D246" s="12"/>
      <c r="E246" s="15"/>
      <c r="F246" s="25"/>
      <c r="G246" s="12"/>
      <c r="H246" s="12"/>
      <c r="I246" s="25"/>
      <c r="J246" s="12"/>
      <c r="K246" s="15"/>
      <c r="L246" s="14"/>
    </row>
    <row r="247" spans="1:12" ht="6" customHeight="1">
      <c r="A247" s="16"/>
      <c r="B247" s="13"/>
      <c r="C247" s="14"/>
      <c r="D247" s="12"/>
      <c r="E247" s="15"/>
      <c r="F247" s="25"/>
      <c r="G247" s="12"/>
      <c r="H247" s="12"/>
      <c r="I247" s="25"/>
      <c r="J247" s="12"/>
      <c r="K247" s="15"/>
      <c r="L247" s="14"/>
    </row>
    <row r="248" spans="1:12" ht="15.75" customHeight="1">
      <c r="A248" s="5" t="s">
        <v>2319</v>
      </c>
      <c r="B248" s="13"/>
      <c r="C248" s="14"/>
      <c r="D248" s="12"/>
      <c r="E248" s="15"/>
      <c r="F248" s="25"/>
      <c r="G248" s="12"/>
      <c r="H248" s="12"/>
      <c r="I248" s="25"/>
      <c r="J248" s="12"/>
      <c r="K248" s="15"/>
      <c r="L248" s="14"/>
    </row>
    <row r="249" spans="1:12" ht="6" customHeight="1">
      <c r="A249" s="1"/>
      <c r="B249" s="13"/>
      <c r="C249" s="14"/>
      <c r="D249" s="12"/>
      <c r="E249" s="15"/>
      <c r="F249" s="25"/>
      <c r="G249" s="12"/>
      <c r="H249" s="12"/>
      <c r="I249" s="25"/>
      <c r="J249" s="12"/>
      <c r="K249" s="15"/>
      <c r="L249" s="14"/>
    </row>
    <row r="250" spans="1:12" ht="15.75" customHeight="1">
      <c r="A250" s="5" t="s">
        <v>113</v>
      </c>
      <c r="B250" s="13"/>
      <c r="C250" s="14"/>
      <c r="D250" s="12"/>
      <c r="E250" s="15"/>
      <c r="F250" s="25"/>
      <c r="G250" s="12"/>
      <c r="H250" s="12"/>
      <c r="I250" s="25"/>
      <c r="J250" s="12"/>
      <c r="K250" s="15"/>
      <c r="L250" s="14"/>
    </row>
    <row r="251" spans="1:12" ht="6" customHeight="1">
      <c r="A251" s="12"/>
      <c r="B251" s="12"/>
      <c r="C251" s="14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5.75" customHeight="1">
      <c r="A252" s="84" t="s">
        <v>2325</v>
      </c>
      <c r="B252" s="12"/>
      <c r="C252" s="12"/>
      <c r="D252" s="12"/>
      <c r="E252" s="12"/>
      <c r="F252" s="12"/>
      <c r="G252" s="12"/>
      <c r="H252" s="76"/>
      <c r="I252" s="12"/>
      <c r="J252" s="12"/>
      <c r="K252" s="12"/>
      <c r="L252" s="12"/>
    </row>
    <row r="253" spans="1:12" ht="6" customHeight="1">
      <c r="A253" s="84"/>
      <c r="B253" s="12"/>
      <c r="C253" s="12"/>
      <c r="D253" s="12"/>
      <c r="E253" s="12"/>
      <c r="F253" s="12"/>
      <c r="G253" s="76"/>
      <c r="H253" s="12"/>
      <c r="I253" s="12"/>
      <c r="J253" s="12"/>
      <c r="K253" s="12"/>
      <c r="L253" s="12"/>
    </row>
    <row r="254" spans="1:12" ht="15.75" customHeight="1">
      <c r="A254" s="84"/>
      <c r="B254" s="76" t="s">
        <v>2326</v>
      </c>
      <c r="C254" s="76"/>
      <c r="D254" s="12"/>
      <c r="E254" s="12"/>
      <c r="F254" s="12"/>
      <c r="G254" s="76"/>
      <c r="H254" s="12"/>
      <c r="I254" s="12"/>
      <c r="J254" s="12"/>
      <c r="K254" s="12"/>
      <c r="L254" s="12"/>
    </row>
    <row r="255" spans="1:12" ht="6" customHeight="1">
      <c r="A255" s="12"/>
      <c r="B255" s="12"/>
      <c r="C255" s="14"/>
      <c r="D255" s="12"/>
      <c r="E255" s="12"/>
      <c r="F255" s="14"/>
      <c r="G255" s="12"/>
      <c r="H255" s="12"/>
      <c r="I255" s="12"/>
      <c r="J255" s="12"/>
      <c r="K255" s="12"/>
      <c r="L255" s="12"/>
    </row>
    <row r="256" spans="1:9" ht="15.75" customHeight="1">
      <c r="A256" s="12" t="s">
        <v>1770</v>
      </c>
      <c r="B256" s="15">
        <f>+H245*10^5/B243+B246</f>
        <v>19.571428571428573</v>
      </c>
      <c r="C256" s="14" t="s">
        <v>699</v>
      </c>
      <c r="D256" s="12" t="s">
        <v>1771</v>
      </c>
      <c r="E256" s="13">
        <f>+B256*B243</f>
        <v>137000</v>
      </c>
      <c r="F256" s="14" t="s">
        <v>700</v>
      </c>
      <c r="G256" s="12" t="s">
        <v>2097</v>
      </c>
      <c r="H256" s="15">
        <f>+PI()*(H243^2)/4</f>
        <v>0.031415926535897934</v>
      </c>
      <c r="I256" s="14" t="s">
        <v>108</v>
      </c>
    </row>
    <row r="257" spans="1:12" ht="6" customHeight="1">
      <c r="A257" s="12"/>
      <c r="B257" s="15"/>
      <c r="C257" s="14"/>
      <c r="D257" s="12"/>
      <c r="E257" s="13"/>
      <c r="F257" s="14"/>
      <c r="G257" s="12"/>
      <c r="H257" s="15"/>
      <c r="I257" s="14"/>
      <c r="J257" s="12"/>
      <c r="K257" s="13"/>
      <c r="L257" s="25"/>
    </row>
    <row r="258" spans="1:12" ht="15.75" customHeight="1">
      <c r="A258" s="12" t="s">
        <v>2340</v>
      </c>
      <c r="C258" s="13">
        <f>+E256*H256</f>
        <v>4303.981935418017</v>
      </c>
      <c r="D258" s="25" t="s">
        <v>704</v>
      </c>
      <c r="E258" s="13"/>
      <c r="F258" s="14"/>
      <c r="G258" s="12"/>
      <c r="H258" s="15"/>
      <c r="I258" s="14"/>
      <c r="J258" s="12"/>
      <c r="K258" s="13"/>
      <c r="L258" s="25"/>
    </row>
    <row r="259" spans="1:12" ht="6" customHeight="1">
      <c r="A259" s="12"/>
      <c r="B259" s="15"/>
      <c r="C259" s="14"/>
      <c r="D259" s="12"/>
      <c r="E259" s="13"/>
      <c r="F259" s="14"/>
      <c r="G259" s="12"/>
      <c r="H259" s="15"/>
      <c r="I259" s="14"/>
      <c r="J259" s="12"/>
      <c r="K259" s="13"/>
      <c r="L259" s="25"/>
    </row>
    <row r="260" spans="1:12" ht="15.75" customHeight="1">
      <c r="A260" s="12" t="s">
        <v>2341</v>
      </c>
      <c r="C260" s="15">
        <f>+(1/2)*(4/3)*PI()*(H243/2)^3+PI()*(H243^2)/4*E242</f>
        <v>0.07120943348136866</v>
      </c>
      <c r="D260" s="14" t="s">
        <v>109</v>
      </c>
      <c r="F260" s="12" t="s">
        <v>2327</v>
      </c>
      <c r="G260" s="13">
        <f>+C260*B244</f>
        <v>1424.1886696273732</v>
      </c>
      <c r="H260" s="25" t="s">
        <v>704</v>
      </c>
      <c r="I260" s="14"/>
      <c r="J260" s="12"/>
      <c r="K260" s="13"/>
      <c r="L260" s="25"/>
    </row>
    <row r="261" spans="1:12" ht="6" customHeight="1">
      <c r="A261" s="12"/>
      <c r="B261" s="15"/>
      <c r="C261" s="14"/>
      <c r="D261" s="12"/>
      <c r="E261" s="13"/>
      <c r="F261" s="14"/>
      <c r="G261" s="12"/>
      <c r="H261" s="15"/>
      <c r="I261" s="14"/>
      <c r="J261" s="12"/>
      <c r="K261" s="13"/>
      <c r="L261" s="25"/>
    </row>
    <row r="262" spans="1:12" ht="15.75" customHeight="1">
      <c r="A262" s="84" t="s">
        <v>2328</v>
      </c>
      <c r="B262" s="15"/>
      <c r="C262" s="14"/>
      <c r="D262" s="12"/>
      <c r="E262" s="13"/>
      <c r="F262" s="14"/>
      <c r="G262" s="12"/>
      <c r="H262" s="15"/>
      <c r="I262" s="14"/>
      <c r="J262" s="12"/>
      <c r="K262" s="13"/>
      <c r="L262" s="25"/>
    </row>
    <row r="263" spans="1:12" ht="6" customHeight="1">
      <c r="A263" s="12"/>
      <c r="B263" s="15"/>
      <c r="C263" s="14"/>
      <c r="D263" s="14"/>
      <c r="E263" s="12"/>
      <c r="F263" s="14"/>
      <c r="G263" s="12"/>
      <c r="H263" s="15"/>
      <c r="I263" s="14"/>
      <c r="J263" s="12"/>
      <c r="K263" s="13"/>
      <c r="L263" s="25"/>
    </row>
    <row r="264" spans="1:12" ht="15.75" customHeight="1">
      <c r="A264" s="14" t="s">
        <v>1622</v>
      </c>
      <c r="B264" s="12"/>
      <c r="C264" s="12"/>
      <c r="E264" s="13">
        <f>+C258-G260*SIN(RADIANS(B245))</f>
        <v>3591.8876006043306</v>
      </c>
      <c r="F264" s="25" t="s">
        <v>704</v>
      </c>
      <c r="G264" s="12"/>
      <c r="H264" s="12"/>
      <c r="I264" s="13"/>
      <c r="J264" s="12"/>
      <c r="K264" s="12"/>
      <c r="L264" s="12"/>
    </row>
    <row r="265" spans="1:12" ht="6" customHeight="1">
      <c r="A265" s="12"/>
      <c r="B265" s="12"/>
      <c r="C265" s="12"/>
      <c r="D265" s="12"/>
      <c r="E265" s="12"/>
      <c r="F265" s="12"/>
      <c r="G265" s="12"/>
      <c r="H265" s="12"/>
      <c r="I265" s="13"/>
      <c r="J265" s="12"/>
      <c r="K265" s="12"/>
      <c r="L265" s="12"/>
    </row>
    <row r="266" spans="1:12" ht="15.75" customHeight="1">
      <c r="A266" s="84" t="s">
        <v>2274</v>
      </c>
      <c r="B266" s="12"/>
      <c r="C266" s="12"/>
      <c r="D266" s="12"/>
      <c r="E266" s="12"/>
      <c r="F266" s="12"/>
      <c r="G266" s="76" t="s">
        <v>1779</v>
      </c>
      <c r="H266" s="12"/>
      <c r="I266" s="12"/>
      <c r="J266" s="129" t="s">
        <v>2096</v>
      </c>
      <c r="K266" s="12"/>
      <c r="L266" s="12"/>
    </row>
    <row r="267" spans="1:12" ht="6" customHeight="1">
      <c r="A267" s="84"/>
      <c r="B267" s="12"/>
      <c r="C267" s="12"/>
      <c r="D267" s="12"/>
      <c r="E267" s="12"/>
      <c r="F267" s="12"/>
      <c r="G267" s="76"/>
      <c r="H267" s="12"/>
      <c r="I267" s="12"/>
      <c r="J267" s="129"/>
      <c r="K267" s="12"/>
      <c r="L267" s="12"/>
    </row>
    <row r="268" spans="1:12" ht="15.75" customHeight="1">
      <c r="A268" s="12" t="s">
        <v>1781</v>
      </c>
      <c r="B268" s="130">
        <f>+(1/2)*(4/3)*PI()*(H243/2)^3+PI()*(H243^2)/4*E243</f>
        <v>0.01466076571675237</v>
      </c>
      <c r="C268" s="14" t="s">
        <v>109</v>
      </c>
      <c r="D268" s="12" t="s">
        <v>2303</v>
      </c>
      <c r="E268" s="13">
        <f>+B268*B242</f>
        <v>143.76346861847375</v>
      </c>
      <c r="F268" s="25" t="s">
        <v>704</v>
      </c>
      <c r="G268" s="12"/>
      <c r="H268" s="15"/>
      <c r="I268" s="14"/>
      <c r="J268" s="12"/>
      <c r="K268" s="13"/>
      <c r="L268" s="25"/>
    </row>
    <row r="269" spans="1:12" ht="6" customHeight="1">
      <c r="A269" s="84"/>
      <c r="B269" s="12"/>
      <c r="C269" s="12"/>
      <c r="D269" s="12"/>
      <c r="E269" s="12"/>
      <c r="F269" s="12"/>
      <c r="G269" s="76"/>
      <c r="H269" s="12"/>
      <c r="I269" s="12"/>
      <c r="J269" s="129"/>
      <c r="K269" s="12"/>
      <c r="L269" s="12"/>
    </row>
    <row r="270" spans="1:12" ht="15.75" customHeight="1">
      <c r="A270" s="84" t="s">
        <v>2328</v>
      </c>
      <c r="B270" s="12"/>
      <c r="C270" s="12"/>
      <c r="D270" s="12"/>
      <c r="E270" s="12"/>
      <c r="F270" s="12"/>
      <c r="G270" s="76"/>
      <c r="H270" s="12"/>
      <c r="I270" s="12"/>
      <c r="J270" s="129"/>
      <c r="K270" s="12"/>
      <c r="L270" s="12"/>
    </row>
    <row r="271" spans="1:12" ht="6" customHeight="1">
      <c r="A271" s="84"/>
      <c r="B271" s="12"/>
      <c r="C271" s="12"/>
      <c r="D271" s="12"/>
      <c r="E271" s="12"/>
      <c r="F271" s="12"/>
      <c r="G271" s="76"/>
      <c r="H271" s="12"/>
      <c r="I271" s="12"/>
      <c r="J271" s="129"/>
      <c r="K271" s="12"/>
      <c r="L271" s="12"/>
    </row>
    <row r="272" spans="1:10" ht="15.75" customHeight="1">
      <c r="A272" s="100" t="s">
        <v>1623</v>
      </c>
      <c r="B272" s="12"/>
      <c r="D272" s="13">
        <f>+E264+E268*SIN(RADIANS(B245))</f>
        <v>3663.7693349135675</v>
      </c>
      <c r="E272" s="25" t="s">
        <v>704</v>
      </c>
      <c r="F272" s="12"/>
      <c r="H272" s="12" t="s">
        <v>2097</v>
      </c>
      <c r="I272" s="15">
        <f>+H256</f>
        <v>0.031415926535897934</v>
      </c>
      <c r="J272" s="14" t="s">
        <v>108</v>
      </c>
    </row>
    <row r="273" spans="1:12" ht="6" customHeight="1">
      <c r="A273" s="100"/>
      <c r="B273" s="12"/>
      <c r="C273" s="13"/>
      <c r="D273" s="25"/>
      <c r="E273" s="12"/>
      <c r="F273" s="12"/>
      <c r="G273" s="12"/>
      <c r="H273" s="15"/>
      <c r="I273" s="14"/>
      <c r="J273" s="12"/>
      <c r="K273" s="15"/>
      <c r="L273" s="14"/>
    </row>
    <row r="274" spans="1:12" ht="15.75" customHeight="1">
      <c r="A274" s="12" t="s">
        <v>1770</v>
      </c>
      <c r="B274" s="130">
        <f>+D272/(B242*I272)</f>
        <v>11.892861513359168</v>
      </c>
      <c r="C274" s="14" t="s">
        <v>699</v>
      </c>
      <c r="D274" s="25"/>
      <c r="E274" s="12"/>
      <c r="F274" s="12"/>
      <c r="G274" s="12"/>
      <c r="H274" s="15"/>
      <c r="I274" s="14"/>
      <c r="J274" s="12"/>
      <c r="K274" s="15"/>
      <c r="L274" s="14"/>
    </row>
    <row r="275" spans="1:12" ht="15.75" customHeight="1">
      <c r="A275" s="84" t="s">
        <v>2329</v>
      </c>
      <c r="B275" s="1"/>
      <c r="C275" s="13"/>
      <c r="D275" s="1"/>
      <c r="E275" s="12"/>
      <c r="F275" s="14" t="s">
        <v>2330</v>
      </c>
      <c r="G275" s="12"/>
      <c r="H275" s="15"/>
      <c r="I275" s="14"/>
      <c r="J275" s="12"/>
      <c r="K275" s="15"/>
      <c r="L275" s="14"/>
    </row>
    <row r="276" spans="1:12" ht="6" customHeight="1">
      <c r="A276" s="100"/>
      <c r="B276" s="12"/>
      <c r="C276" s="13"/>
      <c r="D276" s="25"/>
      <c r="E276" s="12"/>
      <c r="F276" s="12"/>
      <c r="G276" s="12"/>
      <c r="H276" s="15"/>
      <c r="I276" s="14"/>
      <c r="J276" s="12"/>
      <c r="K276" s="15"/>
      <c r="L276" s="14"/>
    </row>
    <row r="277" spans="1:12" ht="15.75" customHeight="1">
      <c r="A277" s="12" t="s">
        <v>2331</v>
      </c>
      <c r="B277" s="130">
        <f>+(1/2)*(4/3)*PI()*(H243/2)^3</f>
        <v>0.0020943951023931957</v>
      </c>
      <c r="C277" s="14" t="s">
        <v>109</v>
      </c>
      <c r="D277" s="12" t="s">
        <v>2332</v>
      </c>
      <c r="E277" s="13">
        <f>+B277*B242</f>
        <v>20.537638374067676</v>
      </c>
      <c r="F277" s="25" t="s">
        <v>704</v>
      </c>
      <c r="G277" s="12"/>
      <c r="H277" s="15"/>
      <c r="I277" s="14"/>
      <c r="J277" s="12"/>
      <c r="K277" s="15"/>
      <c r="L277" s="14"/>
    </row>
    <row r="278" spans="1:12" ht="6" customHeight="1">
      <c r="A278" s="100"/>
      <c r="B278" s="12"/>
      <c r="C278" s="13"/>
      <c r="D278" s="25"/>
      <c r="E278" s="12"/>
      <c r="F278" s="12"/>
      <c r="G278" s="12"/>
      <c r="H278" s="15"/>
      <c r="I278" s="14"/>
      <c r="J278" s="12"/>
      <c r="K278" s="15"/>
      <c r="L278" s="14"/>
    </row>
    <row r="279" spans="1:10" ht="15.75" customHeight="1">
      <c r="A279" s="100" t="s">
        <v>1624</v>
      </c>
      <c r="B279" s="12"/>
      <c r="C279" s="15"/>
      <c r="D279" s="13">
        <f>+E277*SIN(RADIANS(B245))+E264</f>
        <v>3602.1564197913644</v>
      </c>
      <c r="E279" s="25" t="s">
        <v>704</v>
      </c>
      <c r="F279" s="12"/>
      <c r="H279" s="12" t="s">
        <v>2097</v>
      </c>
      <c r="I279" s="15">
        <f>+I272</f>
        <v>0.031415926535897934</v>
      </c>
      <c r="J279" s="14" t="s">
        <v>108</v>
      </c>
    </row>
    <row r="280" spans="1:12" ht="6" customHeight="1">
      <c r="A280" s="100"/>
      <c r="B280" s="12"/>
      <c r="C280" s="13"/>
      <c r="D280" s="25"/>
      <c r="E280" s="25"/>
      <c r="F280" s="12"/>
      <c r="G280" s="12"/>
      <c r="H280" s="15"/>
      <c r="I280" s="14"/>
      <c r="J280" s="12"/>
      <c r="K280" s="15"/>
      <c r="L280" s="14"/>
    </row>
    <row r="281" spans="1:12" ht="15.75" customHeight="1">
      <c r="A281" s="12" t="s">
        <v>2333</v>
      </c>
      <c r="B281" s="130">
        <f>+D279/(B242*I279)</f>
        <v>11.69286151335917</v>
      </c>
      <c r="C281" s="14" t="s">
        <v>699</v>
      </c>
      <c r="D281" s="25"/>
      <c r="E281" s="25"/>
      <c r="F281" s="12"/>
      <c r="G281" s="12"/>
      <c r="H281" s="15"/>
      <c r="I281" s="14"/>
      <c r="J281" s="12"/>
      <c r="K281" s="15"/>
      <c r="L281" s="14"/>
    </row>
    <row r="282" spans="1:12" ht="6" customHeight="1">
      <c r="A282" s="100"/>
      <c r="B282" s="12"/>
      <c r="C282" s="13"/>
      <c r="D282" s="25"/>
      <c r="E282" s="12"/>
      <c r="F282" s="12"/>
      <c r="G282" s="12"/>
      <c r="H282" s="15"/>
      <c r="I282" s="14"/>
      <c r="J282" s="12"/>
      <c r="K282" s="15"/>
      <c r="L282" s="14"/>
    </row>
    <row r="283" spans="1:8" ht="15.75" customHeight="1">
      <c r="A283" s="84" t="s">
        <v>1625</v>
      </c>
      <c r="B283" s="12"/>
      <c r="C283" s="13"/>
      <c r="D283" s="25"/>
      <c r="E283" s="12"/>
      <c r="F283" s="12"/>
      <c r="G283" s="15">
        <f>+E243*SIN(RADIANS(B245))</f>
        <v>0.19999999999999998</v>
      </c>
      <c r="H283" s="4" t="s">
        <v>2334</v>
      </c>
    </row>
    <row r="284" spans="1:12" ht="6" customHeight="1">
      <c r="A284" s="84"/>
      <c r="B284" s="12"/>
      <c r="C284" s="13"/>
      <c r="D284" s="25"/>
      <c r="E284" s="12"/>
      <c r="F284" s="12"/>
      <c r="G284" s="15"/>
      <c r="H284" s="4"/>
      <c r="I284" s="4"/>
      <c r="J284" s="12"/>
      <c r="K284" s="15"/>
      <c r="L284" s="14"/>
    </row>
    <row r="285" spans="1:12" ht="15.75" customHeight="1">
      <c r="A285" s="84"/>
      <c r="B285" s="12"/>
      <c r="C285" s="13"/>
      <c r="D285" s="25"/>
      <c r="E285" s="12"/>
      <c r="F285" s="12"/>
      <c r="G285" s="4" t="s">
        <v>2335</v>
      </c>
      <c r="H285" s="12"/>
      <c r="I285" s="15">
        <f>+B274-B281</f>
        <v>0.1999999999999993</v>
      </c>
      <c r="J285" s="14" t="s">
        <v>699</v>
      </c>
      <c r="K285" s="15"/>
      <c r="L285" s="14"/>
    </row>
    <row r="286" spans="1:12" ht="6" customHeight="1">
      <c r="A286" s="84"/>
      <c r="B286" s="12"/>
      <c r="C286" s="12"/>
      <c r="D286" s="12"/>
      <c r="E286" s="12"/>
      <c r="F286" s="12"/>
      <c r="G286" s="76"/>
      <c r="H286" s="12"/>
      <c r="I286" s="12"/>
      <c r="J286" s="129"/>
      <c r="K286" s="12"/>
      <c r="L286" s="12"/>
    </row>
    <row r="287" spans="1:12" ht="15.75" customHeight="1">
      <c r="A287" s="84" t="s">
        <v>2315</v>
      </c>
      <c r="B287" s="12"/>
      <c r="C287" s="12"/>
      <c r="D287" s="12"/>
      <c r="E287" s="76" t="s">
        <v>2336</v>
      </c>
      <c r="F287" s="12"/>
      <c r="G287" s="12"/>
      <c r="H287" s="12"/>
      <c r="I287" s="12"/>
      <c r="J287" s="76"/>
      <c r="K287" s="12"/>
      <c r="L287" s="12"/>
    </row>
    <row r="288" spans="1:12" ht="6" customHeight="1">
      <c r="A288" s="12"/>
      <c r="B288" s="12"/>
      <c r="C288" s="12"/>
      <c r="D288" s="12"/>
      <c r="E288" s="15"/>
      <c r="F288" s="14"/>
      <c r="G288" s="12"/>
      <c r="H288" s="12"/>
      <c r="I288" s="12"/>
      <c r="J288" s="12"/>
      <c r="K288" s="13"/>
      <c r="L288" s="12"/>
    </row>
    <row r="289" spans="1:12" ht="15.75" customHeight="1">
      <c r="A289" s="12" t="s">
        <v>2316</v>
      </c>
      <c r="B289" s="13">
        <f>+(B274-H244*SIN(RADIANS(B245)))*B242</f>
        <v>104363.90000000001</v>
      </c>
      <c r="C289" s="14" t="s">
        <v>700</v>
      </c>
      <c r="D289" s="12" t="s">
        <v>2317</v>
      </c>
      <c r="E289" s="15">
        <f>+PI()*(H242^2)/4</f>
        <v>0.7853981633974483</v>
      </c>
      <c r="F289" s="14" t="s">
        <v>108</v>
      </c>
      <c r="G289" s="12" t="s">
        <v>2337</v>
      </c>
      <c r="H289" s="13">
        <f>+B289*E289</f>
        <v>81967.21538499495</v>
      </c>
      <c r="I289" s="25" t="s">
        <v>704</v>
      </c>
      <c r="J289" s="12"/>
      <c r="K289" s="13"/>
      <c r="L289" s="12"/>
    </row>
    <row r="290" spans="1:12" ht="6" customHeight="1">
      <c r="A290" s="84"/>
      <c r="B290" s="12"/>
      <c r="C290" s="12"/>
      <c r="D290" s="12"/>
      <c r="E290" s="12"/>
      <c r="F290" s="12"/>
      <c r="G290" s="76"/>
      <c r="H290" s="12"/>
      <c r="I290" s="12"/>
      <c r="J290" s="12"/>
      <c r="K290" s="13"/>
      <c r="L290" s="12"/>
    </row>
    <row r="291" spans="1:12" ht="15.75" customHeight="1">
      <c r="A291" s="14" t="s">
        <v>1626</v>
      </c>
      <c r="C291" s="15">
        <f>PI()*(H242^2)/4*E244+PI()*(H243^2)/4*E245</f>
        <v>0.48694686130641796</v>
      </c>
      <c r="D291" s="14" t="s">
        <v>109</v>
      </c>
      <c r="E291" s="12" t="s">
        <v>2338</v>
      </c>
      <c r="F291" s="13">
        <f>+C291*B244</f>
        <v>9738.937226128359</v>
      </c>
      <c r="G291" s="25" t="s">
        <v>704</v>
      </c>
      <c r="J291" s="12"/>
      <c r="K291" s="12"/>
      <c r="L291" s="12"/>
    </row>
    <row r="292" spans="1:12" ht="6" customHeight="1">
      <c r="A292" s="12"/>
      <c r="B292" s="12"/>
      <c r="C292" s="14"/>
      <c r="D292" s="12"/>
      <c r="E292" s="12"/>
      <c r="F292" s="14"/>
      <c r="G292" s="12"/>
      <c r="H292" s="12"/>
      <c r="I292" s="12"/>
      <c r="J292" s="76"/>
      <c r="K292" s="12"/>
      <c r="L292" s="12"/>
    </row>
    <row r="293" spans="1:12" ht="15.75" customHeight="1">
      <c r="A293" s="84" t="s">
        <v>2339</v>
      </c>
      <c r="B293" s="12"/>
      <c r="C293" s="12"/>
      <c r="D293" s="12"/>
      <c r="E293" s="15"/>
      <c r="F293" s="14"/>
      <c r="G293" s="12"/>
      <c r="H293" s="12"/>
      <c r="I293" s="12"/>
      <c r="J293" s="12"/>
      <c r="K293" s="13"/>
      <c r="L293" s="25"/>
    </row>
    <row r="294" spans="1:12" ht="6" customHeight="1">
      <c r="A294" s="12"/>
      <c r="B294" s="12"/>
      <c r="C294" s="12"/>
      <c r="D294" s="12"/>
      <c r="E294" s="14"/>
      <c r="F294" s="14"/>
      <c r="G294" s="12"/>
      <c r="H294" s="12"/>
      <c r="I294" s="12"/>
      <c r="J294" s="12"/>
      <c r="K294" s="12"/>
      <c r="L294" s="12"/>
    </row>
    <row r="295" spans="1:12" ht="15.75" customHeight="1">
      <c r="A295" s="9" t="s">
        <v>1627</v>
      </c>
      <c r="B295" s="10"/>
      <c r="C295" s="74"/>
      <c r="D295" s="11">
        <f>+H289+F291*SIN(RADIANS(B245))</f>
        <v>86836.68399805913</v>
      </c>
      <c r="E295" s="23" t="s">
        <v>704</v>
      </c>
      <c r="F295" s="14"/>
      <c r="G295" s="12"/>
      <c r="H295" s="12"/>
      <c r="I295" s="12"/>
      <c r="J295" s="12"/>
      <c r="K295" s="12"/>
      <c r="L295" s="12"/>
    </row>
    <row r="296" spans="1:12" ht="6" customHeight="1">
      <c r="A296" s="12"/>
      <c r="B296" s="12"/>
      <c r="C296" s="14"/>
      <c r="D296" s="12"/>
      <c r="E296" s="24"/>
      <c r="F296" s="14"/>
      <c r="G296" s="12"/>
      <c r="H296" s="12"/>
      <c r="I296" s="12"/>
      <c r="J296" s="12"/>
      <c r="K296" s="12"/>
      <c r="L296" s="12"/>
    </row>
    <row r="297" spans="1:12" ht="6" customHeight="1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ht="6" customHeight="1"/>
    <row r="299" ht="15.75" customHeight="1">
      <c r="A299" s="85" t="s">
        <v>1629</v>
      </c>
    </row>
    <row r="300" ht="6" customHeight="1">
      <c r="A300" s="5"/>
    </row>
    <row r="301" ht="15.75" customHeight="1">
      <c r="A301" s="5" t="s">
        <v>112</v>
      </c>
    </row>
    <row r="302" ht="6" customHeight="1"/>
    <row r="303" spans="1:13" ht="15.75" customHeight="1">
      <c r="A303" s="2" t="s">
        <v>698</v>
      </c>
      <c r="B303" s="1">
        <v>11000</v>
      </c>
      <c r="C303" s="4" t="s">
        <v>713</v>
      </c>
      <c r="D303" s="1" t="s">
        <v>2295</v>
      </c>
      <c r="E303" s="3">
        <v>0.75</v>
      </c>
      <c r="F303" s="4" t="s">
        <v>699</v>
      </c>
      <c r="G303" s="1" t="s">
        <v>2095</v>
      </c>
      <c r="H303" s="3">
        <v>0.2</v>
      </c>
      <c r="I303" s="4" t="s">
        <v>699</v>
      </c>
      <c r="J303" s="1"/>
      <c r="K303" s="3"/>
      <c r="L303" s="4"/>
      <c r="M303" s="1"/>
    </row>
    <row r="304" spans="1:13" ht="15.75" customHeight="1">
      <c r="A304" s="2" t="s">
        <v>2272</v>
      </c>
      <c r="B304" s="1">
        <v>26000</v>
      </c>
      <c r="C304" s="4" t="s">
        <v>713</v>
      </c>
      <c r="D304" s="1" t="s">
        <v>2294</v>
      </c>
      <c r="E304" s="3">
        <v>1.5</v>
      </c>
      <c r="F304" s="4" t="s">
        <v>699</v>
      </c>
      <c r="G304" s="1" t="s">
        <v>2297</v>
      </c>
      <c r="H304" s="3">
        <v>1.5</v>
      </c>
      <c r="I304" s="4" t="s">
        <v>699</v>
      </c>
      <c r="J304" s="1"/>
      <c r="K304" s="1"/>
      <c r="L304" s="1"/>
      <c r="M304" s="1"/>
    </row>
    <row r="305" spans="1:13" ht="6" customHeight="1">
      <c r="A305" s="2"/>
      <c r="B305" s="1"/>
      <c r="C305" s="4"/>
      <c r="D305" s="1"/>
      <c r="E305" s="3"/>
      <c r="F305" s="4"/>
      <c r="G305" s="1"/>
      <c r="H305" s="3"/>
      <c r="I305" s="4"/>
      <c r="J305" s="1"/>
      <c r="K305" s="1"/>
      <c r="L305" s="1"/>
      <c r="M305" s="1"/>
    </row>
    <row r="306" spans="1:13" ht="15.75" customHeight="1">
      <c r="A306" s="5" t="s">
        <v>229</v>
      </c>
      <c r="B306" s="1"/>
      <c r="C306" s="4"/>
      <c r="D306" s="1"/>
      <c r="E306" s="3"/>
      <c r="F306" s="4"/>
      <c r="G306" s="1"/>
      <c r="H306" s="3"/>
      <c r="I306" s="4"/>
      <c r="J306" s="1"/>
      <c r="K306" s="1"/>
      <c r="L306" s="1"/>
      <c r="M306" s="1"/>
    </row>
    <row r="307" spans="1:13" ht="6" customHeight="1">
      <c r="A307" s="2"/>
      <c r="B307" s="1"/>
      <c r="C307" s="4"/>
      <c r="D307" s="1"/>
      <c r="E307" s="3"/>
      <c r="F307" s="4"/>
      <c r="G307" s="1"/>
      <c r="H307" s="3"/>
      <c r="I307" s="4"/>
      <c r="J307" s="1"/>
      <c r="K307" s="1"/>
      <c r="L307" s="1"/>
      <c r="M307" s="1"/>
    </row>
    <row r="308" spans="1:13" ht="15.75" customHeight="1">
      <c r="A308" s="5" t="s">
        <v>113</v>
      </c>
      <c r="B308" s="1"/>
      <c r="C308" s="4"/>
      <c r="D308" s="1"/>
      <c r="E308" s="3"/>
      <c r="F308" s="4"/>
      <c r="G308" s="1"/>
      <c r="H308" s="3"/>
      <c r="I308" s="4"/>
      <c r="J308" s="1"/>
      <c r="K308" s="1"/>
      <c r="L308" s="1"/>
      <c r="M308" s="1"/>
    </row>
    <row r="309" spans="1:13" ht="6" customHeight="1">
      <c r="A309" s="5"/>
      <c r="B309" s="1"/>
      <c r="C309" s="4"/>
      <c r="D309" s="1"/>
      <c r="E309" s="3"/>
      <c r="F309" s="4"/>
      <c r="G309" s="1"/>
      <c r="H309" s="3"/>
      <c r="I309" s="4"/>
      <c r="J309" s="1"/>
      <c r="K309" s="1"/>
      <c r="L309" s="1"/>
      <c r="M309" s="1"/>
    </row>
    <row r="310" spans="1:13" ht="15.75" customHeight="1">
      <c r="A310" s="4" t="s">
        <v>1606</v>
      </c>
      <c r="B310" s="1"/>
      <c r="C310" s="4"/>
      <c r="D310" s="1"/>
      <c r="E310" s="3"/>
      <c r="F310" s="4"/>
      <c r="G310" s="1"/>
      <c r="H310" s="3"/>
      <c r="I310" s="4"/>
      <c r="J310" s="1"/>
      <c r="K310" s="1"/>
      <c r="L310" s="1"/>
      <c r="M310" s="1"/>
    </row>
    <row r="311" spans="1:13" ht="15.75" customHeight="1">
      <c r="A311" s="4" t="s">
        <v>1607</v>
      </c>
      <c r="B311" s="1"/>
      <c r="C311" s="4"/>
      <c r="D311" s="1"/>
      <c r="E311" s="3"/>
      <c r="F311" s="4"/>
      <c r="G311" s="1"/>
      <c r="H311" s="3"/>
      <c r="I311" s="4"/>
      <c r="J311" s="1"/>
      <c r="K311" s="1"/>
      <c r="L311" s="1"/>
      <c r="M311" s="1"/>
    </row>
    <row r="312" spans="1:13" ht="15.75" customHeight="1">
      <c r="A312" s="4" t="s">
        <v>1608</v>
      </c>
      <c r="B312" s="1"/>
      <c r="C312" s="4"/>
      <c r="D312" s="1"/>
      <c r="E312" s="3"/>
      <c r="F312" s="4"/>
      <c r="G312" s="1"/>
      <c r="H312" s="3"/>
      <c r="I312" s="4"/>
      <c r="J312" s="1"/>
      <c r="K312" s="1"/>
      <c r="L312" s="1"/>
      <c r="M312" s="1"/>
    </row>
    <row r="313" spans="1:13" ht="15.75" customHeight="1">
      <c r="A313" s="4" t="s">
        <v>1609</v>
      </c>
      <c r="B313" s="1"/>
      <c r="C313" s="4"/>
      <c r="D313" s="1"/>
      <c r="E313" s="3"/>
      <c r="F313" s="4"/>
      <c r="G313" s="1"/>
      <c r="H313" s="3"/>
      <c r="I313" s="4"/>
      <c r="J313" s="1"/>
      <c r="K313" s="1"/>
      <c r="L313" s="1"/>
      <c r="M313" s="1"/>
    </row>
    <row r="314" spans="1:13" ht="15.75" customHeight="1">
      <c r="A314" s="4" t="s">
        <v>1610</v>
      </c>
      <c r="B314" s="1"/>
      <c r="C314" s="4"/>
      <c r="D314" s="1"/>
      <c r="E314" s="3"/>
      <c r="F314" s="4"/>
      <c r="G314" s="1"/>
      <c r="H314" s="3"/>
      <c r="I314" s="4"/>
      <c r="J314" s="1"/>
      <c r="K314" s="1"/>
      <c r="L314" s="1"/>
      <c r="M314" s="1"/>
    </row>
    <row r="315" spans="1:13" ht="15.75" customHeight="1">
      <c r="A315" s="4" t="s">
        <v>1611</v>
      </c>
      <c r="B315" s="1"/>
      <c r="C315" s="4"/>
      <c r="D315" s="1"/>
      <c r="E315" s="3"/>
      <c r="F315" s="4"/>
      <c r="G315" s="1"/>
      <c r="H315" s="3"/>
      <c r="I315" s="4"/>
      <c r="J315" s="1"/>
      <c r="K315" s="1"/>
      <c r="L315" s="1"/>
      <c r="M315" s="1"/>
    </row>
    <row r="316" spans="1:13" ht="15.75" customHeight="1">
      <c r="A316" s="4" t="s">
        <v>1612</v>
      </c>
      <c r="B316" s="1"/>
      <c r="C316" s="4"/>
      <c r="D316" s="1"/>
      <c r="E316" s="3"/>
      <c r="F316" s="4"/>
      <c r="G316" s="1"/>
      <c r="H316" s="3"/>
      <c r="I316" s="4"/>
      <c r="J316" s="1"/>
      <c r="K316" s="1"/>
      <c r="L316" s="1"/>
      <c r="M316" s="1"/>
    </row>
    <row r="317" spans="1:13" ht="15.75" customHeight="1">
      <c r="A317" s="4" t="s">
        <v>1613</v>
      </c>
      <c r="B317" s="1"/>
      <c r="C317" s="4"/>
      <c r="D317" s="1"/>
      <c r="E317" s="3"/>
      <c r="F317" s="4"/>
      <c r="G317" s="1"/>
      <c r="H317" s="3"/>
      <c r="I317" s="4"/>
      <c r="J317" s="1"/>
      <c r="K317" s="1"/>
      <c r="L317" s="1"/>
      <c r="M317" s="1"/>
    </row>
    <row r="318" spans="1:13" ht="15.75" customHeight="1">
      <c r="A318" s="4" t="s">
        <v>1614</v>
      </c>
      <c r="B318" s="1"/>
      <c r="C318" s="4"/>
      <c r="D318" s="1"/>
      <c r="E318" s="3"/>
      <c r="F318" s="4"/>
      <c r="G318" s="1"/>
      <c r="H318" s="3"/>
      <c r="I318" s="4"/>
      <c r="J318" s="1"/>
      <c r="K318" s="1"/>
      <c r="L318" s="1"/>
      <c r="M318" s="1"/>
    </row>
    <row r="319" spans="1:13" ht="15.75" customHeight="1">
      <c r="A319" s="4" t="s">
        <v>1615</v>
      </c>
      <c r="B319" s="1"/>
      <c r="C319" s="4"/>
      <c r="D319" s="1"/>
      <c r="E319" s="3"/>
      <c r="F319" s="4"/>
      <c r="G319" s="1"/>
      <c r="H319" s="3"/>
      <c r="I319" s="4"/>
      <c r="J319" s="1"/>
      <c r="K319" s="1"/>
      <c r="L319" s="1"/>
      <c r="M319" s="1"/>
    </row>
    <row r="320" spans="1:13" ht="15.75" customHeight="1">
      <c r="A320" s="4" t="s">
        <v>1616</v>
      </c>
      <c r="B320" s="1"/>
      <c r="C320" s="4"/>
      <c r="D320" s="1"/>
      <c r="E320" s="3"/>
      <c r="F320" s="4"/>
      <c r="G320" s="1"/>
      <c r="H320" s="3"/>
      <c r="I320" s="4"/>
      <c r="J320" s="1"/>
      <c r="K320" s="1"/>
      <c r="L320" s="1"/>
      <c r="M320" s="1"/>
    </row>
    <row r="321" spans="1:13" ht="15.75" customHeight="1">
      <c r="A321" s="4" t="s">
        <v>1617</v>
      </c>
      <c r="B321" s="1"/>
      <c r="C321" s="4"/>
      <c r="D321" s="1"/>
      <c r="E321" s="3"/>
      <c r="F321" s="4"/>
      <c r="G321" s="1"/>
      <c r="H321" s="3"/>
      <c r="I321" s="4"/>
      <c r="J321" s="1"/>
      <c r="K321" s="1"/>
      <c r="L321" s="1"/>
      <c r="M321" s="1"/>
    </row>
    <row r="322" spans="1:13" ht="15.75" customHeight="1">
      <c r="A322" s="4" t="s">
        <v>165</v>
      </c>
      <c r="B322" s="1"/>
      <c r="C322" s="4"/>
      <c r="D322" s="1"/>
      <c r="E322" s="3"/>
      <c r="F322" s="4"/>
      <c r="G322" s="1"/>
      <c r="H322" s="3"/>
      <c r="I322" s="4"/>
      <c r="J322" s="1"/>
      <c r="K322" s="1"/>
      <c r="L322" s="1"/>
      <c r="M322" s="1"/>
    </row>
    <row r="323" spans="1:13" ht="15.75" customHeight="1">
      <c r="A323" s="4" t="s">
        <v>166</v>
      </c>
      <c r="B323" s="1"/>
      <c r="C323" s="4"/>
      <c r="D323" s="1"/>
      <c r="E323" s="3"/>
      <c r="F323" s="4"/>
      <c r="G323" s="1"/>
      <c r="H323" s="3"/>
      <c r="I323" s="4"/>
      <c r="J323" s="1"/>
      <c r="K323" s="1"/>
      <c r="L323" s="1"/>
      <c r="M323" s="1"/>
    </row>
    <row r="324" spans="1:13" ht="15.75" customHeight="1">
      <c r="A324" s="4" t="s">
        <v>167</v>
      </c>
      <c r="B324" s="1"/>
      <c r="C324" s="4"/>
      <c r="D324" s="1"/>
      <c r="E324" s="3"/>
      <c r="F324" s="4"/>
      <c r="G324" s="1"/>
      <c r="H324" s="3"/>
      <c r="I324" s="4"/>
      <c r="J324" s="1"/>
      <c r="K324" s="1"/>
      <c r="L324" s="1"/>
      <c r="M324" s="1"/>
    </row>
    <row r="325" spans="1:13" ht="15.75" customHeight="1">
      <c r="A325" s="4" t="s">
        <v>2166</v>
      </c>
      <c r="B325" s="1"/>
      <c r="C325" s="4"/>
      <c r="D325" s="4" t="s">
        <v>168</v>
      </c>
      <c r="E325" s="3"/>
      <c r="F325" s="4"/>
      <c r="G325" s="1"/>
      <c r="H325" s="3"/>
      <c r="I325" s="4"/>
      <c r="J325" s="1"/>
      <c r="K325" s="1"/>
      <c r="L325" s="1"/>
      <c r="M325" s="1"/>
    </row>
    <row r="326" spans="2:13" ht="15.75" customHeight="1">
      <c r="B326" s="1"/>
      <c r="C326" s="4"/>
      <c r="D326" s="4" t="s">
        <v>169</v>
      </c>
      <c r="E326" s="3"/>
      <c r="F326" s="4"/>
      <c r="G326" s="1"/>
      <c r="H326" s="3"/>
      <c r="I326" s="4"/>
      <c r="J326" s="1"/>
      <c r="K326" s="1"/>
      <c r="L326" s="1"/>
      <c r="M326" s="1"/>
    </row>
    <row r="327" spans="2:13" ht="15.75" customHeight="1">
      <c r="B327" s="1"/>
      <c r="C327" s="4"/>
      <c r="D327" s="4" t="s">
        <v>170</v>
      </c>
      <c r="E327" s="3"/>
      <c r="F327" s="4"/>
      <c r="G327" s="1"/>
      <c r="H327" s="3"/>
      <c r="I327" s="4"/>
      <c r="J327" s="1"/>
      <c r="K327" s="1"/>
      <c r="L327" s="1"/>
      <c r="M327" s="1"/>
    </row>
    <row r="328" spans="1:13" ht="15.75" customHeight="1">
      <c r="A328" s="4" t="s">
        <v>2167</v>
      </c>
      <c r="B328" s="1"/>
      <c r="C328" s="4"/>
      <c r="D328" s="4" t="s">
        <v>171</v>
      </c>
      <c r="E328" s="3"/>
      <c r="F328" s="4"/>
      <c r="G328" s="1"/>
      <c r="H328" s="3"/>
      <c r="I328" s="4"/>
      <c r="J328" s="1"/>
      <c r="K328" s="1"/>
      <c r="L328" s="1"/>
      <c r="M328" s="1"/>
    </row>
    <row r="329" spans="2:13" ht="15.75" customHeight="1">
      <c r="B329" s="1"/>
      <c r="C329" s="4"/>
      <c r="D329" s="4" t="s">
        <v>172</v>
      </c>
      <c r="E329" s="3"/>
      <c r="F329" s="4"/>
      <c r="G329" s="1"/>
      <c r="H329" s="3"/>
      <c r="I329" s="4"/>
      <c r="J329" s="1"/>
      <c r="K329" s="1"/>
      <c r="L329" s="1"/>
      <c r="M329" s="1"/>
    </row>
    <row r="330" spans="2:13" ht="15.75" customHeight="1">
      <c r="B330" s="1"/>
      <c r="C330" s="4"/>
      <c r="D330" s="4" t="s">
        <v>173</v>
      </c>
      <c r="E330" s="3"/>
      <c r="F330" s="4"/>
      <c r="G330" s="1"/>
      <c r="H330" s="3"/>
      <c r="I330" s="4"/>
      <c r="J330" s="1"/>
      <c r="K330" s="1"/>
      <c r="L330" s="1"/>
      <c r="M330" s="1"/>
    </row>
    <row r="331" spans="2:13" ht="15.75" customHeight="1">
      <c r="B331" s="1"/>
      <c r="C331" s="4"/>
      <c r="D331" s="4" t="s">
        <v>174</v>
      </c>
      <c r="E331" s="3"/>
      <c r="F331" s="4"/>
      <c r="G331" s="1"/>
      <c r="H331" s="3"/>
      <c r="I331" s="4"/>
      <c r="J331" s="1"/>
      <c r="K331" s="1"/>
      <c r="L331" s="1"/>
      <c r="M331" s="1"/>
    </row>
    <row r="332" spans="2:13" ht="6" customHeight="1">
      <c r="B332" s="1"/>
      <c r="C332" s="4"/>
      <c r="D332" s="1"/>
      <c r="E332" s="3"/>
      <c r="F332" s="4"/>
      <c r="G332" s="1"/>
      <c r="H332" s="3"/>
      <c r="I332" s="4"/>
      <c r="J332" s="1"/>
      <c r="K332" s="1"/>
      <c r="L332" s="1"/>
      <c r="M332" s="1"/>
    </row>
    <row r="333" spans="1:13" ht="15.75" customHeight="1">
      <c r="A333" s="4" t="s">
        <v>175</v>
      </c>
      <c r="B333" s="1"/>
      <c r="C333" s="4"/>
      <c r="D333" s="1"/>
      <c r="E333" s="3"/>
      <c r="F333" s="4"/>
      <c r="G333" s="1"/>
      <c r="H333" s="3"/>
      <c r="I333" s="4"/>
      <c r="J333" s="1"/>
      <c r="K333" s="1"/>
      <c r="L333" s="1"/>
      <c r="M333" s="1"/>
    </row>
    <row r="334" spans="1:13" ht="15.75" customHeight="1">
      <c r="A334" s="4" t="s">
        <v>176</v>
      </c>
      <c r="B334" s="1"/>
      <c r="C334" s="4"/>
      <c r="D334" s="1"/>
      <c r="E334" s="3"/>
      <c r="F334" s="4"/>
      <c r="G334" s="1"/>
      <c r="H334" s="3"/>
      <c r="I334" s="4"/>
      <c r="J334" s="1"/>
      <c r="K334" s="1"/>
      <c r="L334" s="1"/>
      <c r="M334" s="1"/>
    </row>
    <row r="335" spans="1:13" ht="6" customHeight="1">
      <c r="A335" s="5"/>
      <c r="B335" s="1"/>
      <c r="C335" s="4"/>
      <c r="D335" s="1"/>
      <c r="E335" s="3"/>
      <c r="F335" s="4"/>
      <c r="G335" s="1"/>
      <c r="H335" s="3"/>
      <c r="I335" s="4"/>
      <c r="J335" s="1"/>
      <c r="K335" s="1"/>
      <c r="L335" s="1"/>
      <c r="M335" s="1"/>
    </row>
    <row r="336" spans="1:13" ht="15.75" customHeight="1">
      <c r="A336" s="340" t="s">
        <v>208</v>
      </c>
      <c r="B336" s="1"/>
      <c r="C336" s="4"/>
      <c r="D336" s="1"/>
      <c r="E336" s="3"/>
      <c r="F336" s="4"/>
      <c r="G336" s="1"/>
      <c r="H336" s="3"/>
      <c r="I336" s="4"/>
      <c r="J336" s="1"/>
      <c r="K336" s="1"/>
      <c r="L336" s="1"/>
      <c r="M336" s="1"/>
    </row>
    <row r="337" spans="1:13" ht="6" customHeight="1">
      <c r="A337" s="5"/>
      <c r="B337" s="1"/>
      <c r="C337" s="4"/>
      <c r="D337" s="1"/>
      <c r="E337" s="3"/>
      <c r="F337" s="4"/>
      <c r="G337" s="1"/>
      <c r="H337" s="3"/>
      <c r="I337" s="4"/>
      <c r="J337" s="1"/>
      <c r="K337" s="1"/>
      <c r="L337" s="1"/>
      <c r="M337" s="1"/>
    </row>
    <row r="338" spans="1:13" ht="15.75" customHeight="1">
      <c r="A338" s="5"/>
      <c r="B338" s="104" t="s">
        <v>2275</v>
      </c>
      <c r="C338" s="4" t="s">
        <v>209</v>
      </c>
      <c r="D338" s="1"/>
      <c r="F338" s="104" t="s">
        <v>2276</v>
      </c>
      <c r="G338" s="1"/>
      <c r="H338" s="3"/>
      <c r="I338" s="4"/>
      <c r="J338" s="1"/>
      <c r="K338" s="1"/>
      <c r="L338" s="1"/>
      <c r="M338" s="1"/>
    </row>
    <row r="339" spans="1:13" ht="6" customHeight="1">
      <c r="A339" s="4"/>
      <c r="B339" s="1"/>
      <c r="C339" s="4"/>
      <c r="D339" s="1"/>
      <c r="E339" s="3"/>
      <c r="F339" s="4"/>
      <c r="G339" s="1"/>
      <c r="H339" s="3"/>
      <c r="I339" s="4"/>
      <c r="J339" s="1"/>
      <c r="K339" s="1"/>
      <c r="L339" s="1"/>
      <c r="M339" s="1"/>
    </row>
    <row r="340" spans="1:13" ht="15.75" customHeight="1">
      <c r="A340" s="4" t="s">
        <v>177</v>
      </c>
      <c r="B340" s="1"/>
      <c r="C340" s="4"/>
      <c r="D340" s="1"/>
      <c r="E340" s="3"/>
      <c r="F340" s="4"/>
      <c r="G340" s="1"/>
      <c r="H340" s="3"/>
      <c r="I340" s="4"/>
      <c r="J340" s="1"/>
      <c r="K340" s="1"/>
      <c r="L340" s="1"/>
      <c r="M340" s="1"/>
    </row>
    <row r="341" spans="1:13" ht="15.75" customHeight="1">
      <c r="A341" s="4" t="s">
        <v>178</v>
      </c>
      <c r="B341" s="1"/>
      <c r="C341" s="4"/>
      <c r="D341" s="1"/>
      <c r="E341" s="3"/>
      <c r="F341" s="4"/>
      <c r="G341" s="1"/>
      <c r="H341" s="3"/>
      <c r="I341" s="4"/>
      <c r="J341" s="1"/>
      <c r="K341" s="1"/>
      <c r="L341" s="1"/>
      <c r="M341" s="1"/>
    </row>
    <row r="342" spans="1:13" ht="15.75" customHeight="1">
      <c r="A342" s="4" t="s">
        <v>179</v>
      </c>
      <c r="B342" s="1"/>
      <c r="C342" s="4"/>
      <c r="D342" s="1"/>
      <c r="E342" s="3"/>
      <c r="F342" s="4"/>
      <c r="G342" s="1"/>
      <c r="H342" s="3"/>
      <c r="I342" s="4"/>
      <c r="J342" s="1"/>
      <c r="K342" s="1"/>
      <c r="L342" s="1"/>
      <c r="M342" s="1"/>
    </row>
    <row r="343" spans="1:13" ht="15.75" customHeight="1">
      <c r="A343" s="4" t="s">
        <v>180</v>
      </c>
      <c r="B343" s="1"/>
      <c r="C343" s="4"/>
      <c r="D343" s="1"/>
      <c r="E343" s="3"/>
      <c r="F343" s="4"/>
      <c r="G343" s="1"/>
      <c r="H343" s="3"/>
      <c r="I343" s="4"/>
      <c r="J343" s="1"/>
      <c r="K343" s="1"/>
      <c r="L343" s="1"/>
      <c r="M343" s="1"/>
    </row>
    <row r="344" spans="1:13" ht="15.75" customHeight="1">
      <c r="A344" s="4" t="s">
        <v>181</v>
      </c>
      <c r="B344" s="1"/>
      <c r="C344" s="4"/>
      <c r="D344" s="1"/>
      <c r="E344" s="3"/>
      <c r="F344" s="4"/>
      <c r="G344" s="1"/>
      <c r="H344" s="3"/>
      <c r="I344" s="4"/>
      <c r="J344" s="1"/>
      <c r="K344" s="1"/>
      <c r="L344" s="1"/>
      <c r="M344" s="1"/>
    </row>
    <row r="345" spans="1:13" ht="15.75" customHeight="1">
      <c r="A345" s="4" t="s">
        <v>183</v>
      </c>
      <c r="B345" s="1"/>
      <c r="C345" s="4"/>
      <c r="D345" s="1"/>
      <c r="E345" s="3"/>
      <c r="F345" s="4"/>
      <c r="G345" s="1"/>
      <c r="H345" s="3"/>
      <c r="I345" s="4"/>
      <c r="J345" s="1"/>
      <c r="K345" s="1"/>
      <c r="L345" s="1"/>
      <c r="M345" s="1"/>
    </row>
    <row r="346" spans="1:13" ht="15.75" customHeight="1">
      <c r="A346" s="4" t="s">
        <v>182</v>
      </c>
      <c r="B346" s="1"/>
      <c r="C346" s="4"/>
      <c r="D346" s="1"/>
      <c r="E346" s="3"/>
      <c r="F346" s="4"/>
      <c r="G346" s="1"/>
      <c r="H346" s="3"/>
      <c r="I346" s="4"/>
      <c r="J346" s="1"/>
      <c r="K346" s="1"/>
      <c r="L346" s="1"/>
      <c r="M346" s="1"/>
    </row>
    <row r="347" spans="2:13" ht="6" customHeight="1">
      <c r="B347" s="1"/>
      <c r="C347" s="4"/>
      <c r="D347" s="1"/>
      <c r="E347" s="3"/>
      <c r="F347" s="4"/>
      <c r="G347" s="1"/>
      <c r="H347" s="3"/>
      <c r="I347" s="4"/>
      <c r="J347" s="1"/>
      <c r="K347" s="1"/>
      <c r="L347" s="1"/>
      <c r="M347" s="1"/>
    </row>
    <row r="348" spans="1:13" ht="15.75" customHeight="1">
      <c r="A348" s="4" t="s">
        <v>210</v>
      </c>
      <c r="B348" s="1"/>
      <c r="C348" s="4"/>
      <c r="L348" s="1"/>
      <c r="M348" s="1"/>
    </row>
    <row r="349" spans="1:13" ht="6" customHeight="1">
      <c r="A349" s="4"/>
      <c r="B349" s="1"/>
      <c r="C349" s="4"/>
      <c r="D349" s="1"/>
      <c r="E349" s="3"/>
      <c r="F349" s="4"/>
      <c r="G349" s="1"/>
      <c r="H349" s="3"/>
      <c r="I349" s="4"/>
      <c r="J349" s="1"/>
      <c r="K349" s="1"/>
      <c r="L349" s="1"/>
      <c r="M349" s="1"/>
    </row>
    <row r="350" spans="1:13" ht="15.75" customHeight="1">
      <c r="A350" s="4" t="s">
        <v>211</v>
      </c>
      <c r="D350" s="3">
        <f>+(1/3)*PI()*(H304^2)/4*E304</f>
        <v>0.8835729338221293</v>
      </c>
      <c r="E350" s="4" t="s">
        <v>109</v>
      </c>
      <c r="G350" s="4" t="s">
        <v>212</v>
      </c>
      <c r="I350" s="6">
        <f>+D350*B304</f>
        <v>22972.896279375364</v>
      </c>
      <c r="J350" s="22" t="s">
        <v>704</v>
      </c>
      <c r="L350" s="1"/>
      <c r="M350" s="1"/>
    </row>
    <row r="351" spans="1:13" ht="6" customHeight="1">
      <c r="A351" s="4"/>
      <c r="B351" s="1"/>
      <c r="C351" s="4"/>
      <c r="D351" s="1"/>
      <c r="E351" s="3"/>
      <c r="F351" s="4"/>
      <c r="G351" s="1"/>
      <c r="H351" s="3"/>
      <c r="I351" s="4"/>
      <c r="J351" s="1"/>
      <c r="K351" s="1"/>
      <c r="L351" s="1"/>
      <c r="M351" s="1"/>
    </row>
    <row r="352" spans="1:13" ht="15.75" customHeight="1">
      <c r="A352" s="4" t="s">
        <v>213</v>
      </c>
      <c r="B352" s="1"/>
      <c r="C352" s="4"/>
      <c r="D352" s="1"/>
      <c r="E352" s="3"/>
      <c r="F352" s="4"/>
      <c r="G352" s="1"/>
      <c r="H352" s="3"/>
      <c r="I352" s="4"/>
      <c r="J352" s="1"/>
      <c r="K352" s="1"/>
      <c r="L352" s="1"/>
      <c r="M352" s="1"/>
    </row>
    <row r="353" spans="1:13" ht="6" customHeight="1">
      <c r="A353" s="4"/>
      <c r="B353" s="1"/>
      <c r="C353" s="4"/>
      <c r="D353" s="1"/>
      <c r="E353" s="3"/>
      <c r="F353" s="4"/>
      <c r="G353" s="1"/>
      <c r="H353" s="3"/>
      <c r="I353" s="4"/>
      <c r="J353" s="1"/>
      <c r="K353" s="1"/>
      <c r="L353" s="1"/>
      <c r="M353" s="1"/>
    </row>
    <row r="354" spans="2:13" ht="15.75" customHeight="1">
      <c r="B354" s="14" t="s">
        <v>214</v>
      </c>
      <c r="D354" s="6">
        <f>+I350</f>
        <v>22972.896279375364</v>
      </c>
      <c r="E354" s="22" t="s">
        <v>704</v>
      </c>
      <c r="F354" s="4"/>
      <c r="G354" s="1"/>
      <c r="H354" s="3"/>
      <c r="I354" s="4"/>
      <c r="J354" s="1"/>
      <c r="K354" s="1"/>
      <c r="L354" s="1"/>
      <c r="M354" s="1"/>
    </row>
    <row r="355" spans="1:13" ht="6" customHeight="1">
      <c r="A355" s="4"/>
      <c r="B355" s="1"/>
      <c r="C355" s="4"/>
      <c r="D355" s="1"/>
      <c r="E355" s="3"/>
      <c r="F355" s="4"/>
      <c r="G355" s="1"/>
      <c r="H355" s="3"/>
      <c r="I355" s="4"/>
      <c r="J355" s="1"/>
      <c r="K355" s="1"/>
      <c r="L355" s="1"/>
      <c r="M355" s="1"/>
    </row>
    <row r="356" spans="1:13" ht="15.75" customHeight="1">
      <c r="A356" s="338" t="s">
        <v>2168</v>
      </c>
      <c r="B356" s="1"/>
      <c r="C356" s="4"/>
      <c r="D356" s="1"/>
      <c r="E356" s="3"/>
      <c r="F356" s="4"/>
      <c r="G356" s="1"/>
      <c r="H356" s="3"/>
      <c r="I356" s="4"/>
      <c r="J356" s="1"/>
      <c r="K356" s="1"/>
      <c r="L356" s="1"/>
      <c r="M356" s="1"/>
    </row>
    <row r="357" spans="1:13" ht="6" customHeight="1">
      <c r="A357" s="4"/>
      <c r="B357" s="1"/>
      <c r="C357" s="4"/>
      <c r="D357" s="1"/>
      <c r="E357" s="3"/>
      <c r="F357" s="4"/>
      <c r="G357" s="1"/>
      <c r="H357" s="3"/>
      <c r="I357" s="4"/>
      <c r="J357" s="1"/>
      <c r="K357" s="1"/>
      <c r="L357" s="1"/>
      <c r="M357" s="1"/>
    </row>
    <row r="358" spans="1:13" ht="15.75" customHeight="1">
      <c r="A358" s="4" t="s">
        <v>184</v>
      </c>
      <c r="B358" s="1"/>
      <c r="C358" s="4"/>
      <c r="D358" s="1"/>
      <c r="E358" s="3"/>
      <c r="F358" s="4"/>
      <c r="G358" s="1"/>
      <c r="H358" s="3"/>
      <c r="I358" s="4"/>
      <c r="J358" s="1"/>
      <c r="K358" s="1"/>
      <c r="L358" s="1"/>
      <c r="M358" s="1"/>
    </row>
    <row r="359" spans="1:13" ht="15.75" customHeight="1">
      <c r="A359" s="4" t="s">
        <v>185</v>
      </c>
      <c r="B359" s="1"/>
      <c r="C359" s="4"/>
      <c r="D359" s="1"/>
      <c r="E359" s="3"/>
      <c r="F359" s="4"/>
      <c r="G359" s="1"/>
      <c r="H359" s="3"/>
      <c r="I359" s="4"/>
      <c r="J359" s="1"/>
      <c r="K359" s="1"/>
      <c r="L359" s="1"/>
      <c r="M359" s="1"/>
    </row>
    <row r="360" spans="1:13" ht="15.75" customHeight="1">
      <c r="A360" s="4" t="s">
        <v>186</v>
      </c>
      <c r="B360" s="1"/>
      <c r="C360" s="4"/>
      <c r="D360" s="1"/>
      <c r="E360" s="3"/>
      <c r="F360" s="4"/>
      <c r="G360" s="1"/>
      <c r="H360" s="3"/>
      <c r="I360" s="4"/>
      <c r="J360" s="1"/>
      <c r="K360" s="1"/>
      <c r="L360" s="1"/>
      <c r="M360" s="1"/>
    </row>
    <row r="361" spans="1:13" ht="15.75" customHeight="1">
      <c r="A361" s="4" t="s">
        <v>187</v>
      </c>
      <c r="B361" s="1"/>
      <c r="C361" s="4"/>
      <c r="D361" s="1"/>
      <c r="E361" s="3"/>
      <c r="F361" s="4"/>
      <c r="G361" s="1"/>
      <c r="H361" s="3"/>
      <c r="I361" s="4"/>
      <c r="J361" s="1"/>
      <c r="K361" s="1"/>
      <c r="L361" s="1"/>
      <c r="M361" s="1"/>
    </row>
    <row r="362" spans="1:13" ht="15.75" customHeight="1">
      <c r="A362" s="4" t="s">
        <v>188</v>
      </c>
      <c r="B362" s="1"/>
      <c r="C362" s="4"/>
      <c r="D362" s="1"/>
      <c r="E362" s="3"/>
      <c r="F362" s="4"/>
      <c r="G362" s="1"/>
      <c r="H362" s="3"/>
      <c r="I362" s="4"/>
      <c r="J362" s="1"/>
      <c r="K362" s="1"/>
      <c r="L362" s="1"/>
      <c r="M362" s="1"/>
    </row>
    <row r="363" spans="1:13" ht="15.75" customHeight="1">
      <c r="A363" s="4" t="s">
        <v>191</v>
      </c>
      <c r="B363" s="1"/>
      <c r="C363" s="4"/>
      <c r="D363" s="1"/>
      <c r="E363" s="3"/>
      <c r="F363" s="4"/>
      <c r="G363" s="1"/>
      <c r="H363" s="3"/>
      <c r="I363" s="4"/>
      <c r="J363" s="1"/>
      <c r="K363" s="1"/>
      <c r="L363" s="1"/>
      <c r="M363" s="1"/>
    </row>
    <row r="364" spans="1:13" ht="15.75" customHeight="1">
      <c r="A364" s="4" t="s">
        <v>189</v>
      </c>
      <c r="B364" s="1"/>
      <c r="C364" s="4"/>
      <c r="D364" s="1"/>
      <c r="E364" s="3"/>
      <c r="F364" s="4"/>
      <c r="G364" s="1"/>
      <c r="H364" s="3"/>
      <c r="I364" s="4"/>
      <c r="J364" s="1"/>
      <c r="K364" s="1"/>
      <c r="L364" s="1"/>
      <c r="M364" s="1"/>
    </row>
    <row r="365" spans="1:13" ht="6" customHeight="1">
      <c r="A365" s="4"/>
      <c r="B365" s="1"/>
      <c r="C365" s="4"/>
      <c r="D365" s="1"/>
      <c r="E365" s="3"/>
      <c r="F365" s="4"/>
      <c r="G365" s="1"/>
      <c r="H365" s="3"/>
      <c r="I365" s="4"/>
      <c r="J365" s="1"/>
      <c r="K365" s="1"/>
      <c r="L365" s="1"/>
      <c r="M365" s="1"/>
    </row>
    <row r="366" spans="1:13" ht="15.75" customHeight="1">
      <c r="A366" s="4"/>
      <c r="B366" s="5" t="s">
        <v>215</v>
      </c>
      <c r="C366" s="1"/>
      <c r="D366" s="1"/>
      <c r="E366" s="5"/>
      <c r="F366" s="4"/>
      <c r="G366" s="1"/>
      <c r="H366" s="3"/>
      <c r="I366" s="4"/>
      <c r="J366" s="1"/>
      <c r="K366" s="1"/>
      <c r="L366" s="1"/>
      <c r="M366" s="1"/>
    </row>
    <row r="367" spans="1:13" ht="6" customHeight="1">
      <c r="A367" s="4"/>
      <c r="B367" s="1"/>
      <c r="C367" s="4"/>
      <c r="D367" s="1"/>
      <c r="E367" s="3"/>
      <c r="F367" s="4"/>
      <c r="G367" s="1"/>
      <c r="H367" s="3"/>
      <c r="I367" s="4"/>
      <c r="J367" s="1"/>
      <c r="K367" s="1"/>
      <c r="L367" s="1"/>
      <c r="M367" s="1"/>
    </row>
    <row r="368" spans="1:13" ht="15.75" customHeight="1">
      <c r="A368" s="4" t="s">
        <v>190</v>
      </c>
      <c r="B368" s="1"/>
      <c r="C368" s="4"/>
      <c r="D368" s="1"/>
      <c r="E368" s="3"/>
      <c r="F368" s="4"/>
      <c r="G368" s="1"/>
      <c r="H368" s="3"/>
      <c r="I368" s="4"/>
      <c r="J368" s="1"/>
      <c r="K368" s="1"/>
      <c r="L368" s="1"/>
      <c r="M368" s="1"/>
    </row>
    <row r="369" spans="1:13" ht="6" customHeight="1">
      <c r="A369" s="1"/>
      <c r="B369" s="1"/>
      <c r="C369" s="1"/>
      <c r="D369" s="1"/>
      <c r="E369" s="3"/>
      <c r="F369" s="4"/>
      <c r="G369" s="1"/>
      <c r="H369" s="1"/>
      <c r="I369" s="1"/>
      <c r="J369" s="1"/>
      <c r="K369" s="1"/>
      <c r="L369" s="1"/>
      <c r="M369" s="1"/>
    </row>
    <row r="370" spans="2:13" ht="15.75" customHeight="1">
      <c r="B370" s="4" t="s">
        <v>216</v>
      </c>
      <c r="D370" s="341" t="s">
        <v>217</v>
      </c>
      <c r="E370" s="120" t="s">
        <v>196</v>
      </c>
      <c r="G370" s="3">
        <f>+H304/E304*E303</f>
        <v>0.75</v>
      </c>
      <c r="H370" s="1" t="s">
        <v>699</v>
      </c>
      <c r="I370" s="1"/>
      <c r="J370" s="1"/>
      <c r="K370" s="1"/>
      <c r="L370" s="1"/>
      <c r="M370" s="1"/>
    </row>
    <row r="371" spans="1:13" ht="6" customHeight="1">
      <c r="A371" s="1"/>
      <c r="B371" s="1"/>
      <c r="C371" s="4"/>
      <c r="D371" s="1"/>
      <c r="E371" s="1"/>
      <c r="F371" s="4"/>
      <c r="G371" s="1"/>
      <c r="H371" s="1"/>
      <c r="I371" s="1"/>
      <c r="J371" s="1"/>
      <c r="K371" s="1"/>
      <c r="L371" s="1"/>
      <c r="M371" s="1"/>
    </row>
    <row r="372" spans="1:13" ht="15.75" customHeight="1">
      <c r="A372" s="120" t="s">
        <v>197</v>
      </c>
      <c r="G372" s="16"/>
      <c r="K372" s="1"/>
      <c r="L372" s="1"/>
      <c r="M372" s="1"/>
    </row>
    <row r="373" spans="1:13" ht="6" customHeight="1">
      <c r="A373" s="1"/>
      <c r="B373" s="1"/>
      <c r="C373" s="1"/>
      <c r="D373" s="1"/>
      <c r="E373" s="3"/>
      <c r="F373" s="4"/>
      <c r="G373" s="1"/>
      <c r="H373" s="1"/>
      <c r="I373" s="1"/>
      <c r="J373" s="1"/>
      <c r="K373" s="1"/>
      <c r="L373" s="1"/>
      <c r="M373" s="1"/>
    </row>
    <row r="374" spans="1:13" ht="15.75" customHeight="1">
      <c r="A374" s="4" t="s">
        <v>218</v>
      </c>
      <c r="B374" s="1"/>
      <c r="C374" s="3">
        <f>+(1/3)*PI()*(G370^2)/4*E303</f>
        <v>0.11044661672776616</v>
      </c>
      <c r="D374" s="4" t="s">
        <v>109</v>
      </c>
      <c r="E374" s="12"/>
      <c r="F374" s="4" t="s">
        <v>219</v>
      </c>
      <c r="H374" s="6">
        <f>+C374*B303</f>
        <v>1214.9127840054277</v>
      </c>
      <c r="I374" s="22" t="s">
        <v>704</v>
      </c>
      <c r="K374" s="1"/>
      <c r="L374" s="1"/>
      <c r="M374" s="1"/>
    </row>
    <row r="375" spans="1:13" ht="6" customHeight="1">
      <c r="A375" s="4"/>
      <c r="B375" s="1"/>
      <c r="C375" s="3"/>
      <c r="D375" s="4"/>
      <c r="E375" s="12"/>
      <c r="F375" s="4"/>
      <c r="H375" s="6"/>
      <c r="I375" s="22"/>
      <c r="K375" s="1"/>
      <c r="L375" s="1"/>
      <c r="M375" s="1"/>
    </row>
    <row r="376" spans="1:13" ht="15.75" customHeight="1">
      <c r="A376" s="4"/>
      <c r="B376" s="1"/>
      <c r="C376" s="3"/>
      <c r="D376" s="4"/>
      <c r="E376" s="12"/>
      <c r="F376" s="4" t="s">
        <v>192</v>
      </c>
      <c r="H376" s="6"/>
      <c r="I376" s="22"/>
      <c r="K376" s="1"/>
      <c r="L376" s="1"/>
      <c r="M376" s="1"/>
    </row>
    <row r="377" spans="1:13" ht="15.75" customHeight="1">
      <c r="A377" s="4"/>
      <c r="B377" s="1"/>
      <c r="C377" s="3"/>
      <c r="D377" s="4"/>
      <c r="E377" s="12"/>
      <c r="F377" s="4" t="s">
        <v>193</v>
      </c>
      <c r="H377" s="6"/>
      <c r="I377" s="22"/>
      <c r="K377" s="1"/>
      <c r="L377" s="1"/>
      <c r="M377" s="1"/>
    </row>
    <row r="378" spans="1:13" ht="6" customHeight="1">
      <c r="A378" s="4"/>
      <c r="B378" s="1"/>
      <c r="C378" s="3"/>
      <c r="D378" s="4"/>
      <c r="E378" s="12"/>
      <c r="F378" s="4"/>
      <c r="H378" s="6"/>
      <c r="I378" s="22"/>
      <c r="K378" s="1"/>
      <c r="L378" s="1"/>
      <c r="M378" s="1"/>
    </row>
    <row r="379" spans="1:13" ht="15.75" customHeight="1">
      <c r="A379" s="4" t="s">
        <v>194</v>
      </c>
      <c r="B379" s="1"/>
      <c r="C379" s="3"/>
      <c r="D379" s="4"/>
      <c r="E379" s="12"/>
      <c r="F379" s="4"/>
      <c r="H379" s="6"/>
      <c r="I379" s="22"/>
      <c r="K379" s="1"/>
      <c r="L379" s="1"/>
      <c r="M379" s="1"/>
    </row>
    <row r="380" spans="1:13" ht="15.75" customHeight="1">
      <c r="A380" s="4" t="s">
        <v>195</v>
      </c>
      <c r="B380" s="1"/>
      <c r="C380" s="3"/>
      <c r="D380" s="4"/>
      <c r="E380" s="12"/>
      <c r="F380" s="4"/>
      <c r="H380" s="6"/>
      <c r="I380" s="22"/>
      <c r="K380" s="1"/>
      <c r="L380" s="1"/>
      <c r="M380" s="1"/>
    </row>
    <row r="381" spans="1:13" ht="6" customHeight="1">
      <c r="A381" s="4"/>
      <c r="B381" s="1"/>
      <c r="C381" s="3"/>
      <c r="D381" s="4"/>
      <c r="E381" s="12"/>
      <c r="F381" s="4"/>
      <c r="H381" s="6"/>
      <c r="I381" s="22"/>
      <c r="K381" s="1"/>
      <c r="L381" s="1"/>
      <c r="M381" s="1"/>
    </row>
    <row r="382" spans="1:13" ht="15.75" customHeight="1">
      <c r="A382" s="4"/>
      <c r="B382" s="2" t="s">
        <v>1634</v>
      </c>
      <c r="D382" s="6">
        <f>+D354-H374</f>
        <v>21757.983495369936</v>
      </c>
      <c r="E382" s="22" t="s">
        <v>704</v>
      </c>
      <c r="F382" s="120" t="s">
        <v>198</v>
      </c>
      <c r="H382" s="6"/>
      <c r="I382" s="22"/>
      <c r="K382" s="1"/>
      <c r="L382" s="1"/>
      <c r="M382" s="1"/>
    </row>
    <row r="383" spans="1:13" ht="15.75" customHeight="1">
      <c r="A383" s="4"/>
      <c r="B383" s="1"/>
      <c r="C383" s="3"/>
      <c r="D383" s="4"/>
      <c r="E383" s="12"/>
      <c r="F383" s="4" t="s">
        <v>201</v>
      </c>
      <c r="H383" s="6"/>
      <c r="I383" s="22"/>
      <c r="K383" s="1"/>
      <c r="L383" s="1"/>
      <c r="M383" s="1"/>
    </row>
    <row r="384" spans="1:13" ht="15.75" customHeight="1">
      <c r="A384" s="4"/>
      <c r="B384" s="1"/>
      <c r="C384" s="3"/>
      <c r="D384" s="4"/>
      <c r="E384" s="12"/>
      <c r="F384" s="4" t="s">
        <v>199</v>
      </c>
      <c r="H384" s="6"/>
      <c r="I384" s="22"/>
      <c r="K384" s="1"/>
      <c r="L384" s="1"/>
      <c r="M384" s="1"/>
    </row>
    <row r="385" spans="1:13" ht="15.75" customHeight="1">
      <c r="A385" s="4"/>
      <c r="B385" s="1"/>
      <c r="C385" s="3"/>
      <c r="D385" s="4"/>
      <c r="E385" s="12"/>
      <c r="F385" s="4" t="s">
        <v>202</v>
      </c>
      <c r="H385" s="6"/>
      <c r="I385" s="22"/>
      <c r="K385" s="1"/>
      <c r="L385" s="1"/>
      <c r="M385" s="1"/>
    </row>
    <row r="386" spans="1:13" ht="15.75" customHeight="1">
      <c r="A386" s="4"/>
      <c r="B386" s="1"/>
      <c r="C386" s="3"/>
      <c r="D386" s="4"/>
      <c r="E386" s="12"/>
      <c r="F386" s="4" t="s">
        <v>200</v>
      </c>
      <c r="H386" s="6"/>
      <c r="I386" s="22"/>
      <c r="K386" s="1"/>
      <c r="L386" s="1"/>
      <c r="M386" s="1"/>
    </row>
    <row r="387" spans="1:13" ht="6" customHeight="1">
      <c r="A387" s="1"/>
      <c r="B387" s="1"/>
      <c r="C387" s="1"/>
      <c r="D387" s="1"/>
      <c r="E387" s="3"/>
      <c r="G387" s="1"/>
      <c r="I387" s="1"/>
      <c r="J387" s="1"/>
      <c r="K387" s="1"/>
      <c r="L387" s="1"/>
      <c r="M387" s="1"/>
    </row>
    <row r="388" spans="1:13" ht="15.75" customHeight="1">
      <c r="A388" s="4" t="s">
        <v>220</v>
      </c>
      <c r="D388" s="1"/>
      <c r="J388" s="1"/>
      <c r="K388" s="1"/>
      <c r="L388" s="1"/>
      <c r="M388" s="1"/>
    </row>
    <row r="389" spans="1:13" ht="6" customHeight="1">
      <c r="A389" s="1"/>
      <c r="B389" s="1"/>
      <c r="C389" s="1"/>
      <c r="D389" s="1"/>
      <c r="E389" s="3"/>
      <c r="F389" s="4"/>
      <c r="G389" s="1"/>
      <c r="H389" s="1"/>
      <c r="I389" s="1"/>
      <c r="J389" s="1"/>
      <c r="K389" s="1"/>
      <c r="L389" s="1"/>
      <c r="M389" s="1"/>
    </row>
    <row r="390" spans="2:13" ht="15.75" customHeight="1">
      <c r="B390" s="2" t="s">
        <v>221</v>
      </c>
      <c r="E390" s="341" t="s">
        <v>222</v>
      </c>
      <c r="F390" s="4" t="s">
        <v>223</v>
      </c>
      <c r="H390" s="3">
        <f>+PI()*(G370^2)/4</f>
        <v>0.44178646691106466</v>
      </c>
      <c r="I390" s="4" t="s">
        <v>108</v>
      </c>
      <c r="K390" s="3"/>
      <c r="M390" s="1"/>
    </row>
    <row r="391" spans="1:13" ht="6" customHeight="1">
      <c r="A391" s="1"/>
      <c r="B391" s="1"/>
      <c r="C391" s="1"/>
      <c r="D391" s="1"/>
      <c r="E391" s="3"/>
      <c r="F391" s="4"/>
      <c r="G391" s="1"/>
      <c r="H391" s="1"/>
      <c r="I391" s="1"/>
      <c r="J391" s="1"/>
      <c r="K391" s="1"/>
      <c r="L391" s="1"/>
      <c r="M391" s="1"/>
    </row>
    <row r="392" spans="1:13" ht="15.75" customHeight="1">
      <c r="A392" s="120" t="s">
        <v>204</v>
      </c>
      <c r="D392" s="12"/>
      <c r="E392" s="12"/>
      <c r="F392" s="12"/>
      <c r="G392" s="76"/>
      <c r="H392" s="12"/>
      <c r="I392" s="12"/>
      <c r="J392" s="76"/>
      <c r="K392" s="12"/>
      <c r="L392" s="12"/>
      <c r="M392" s="12"/>
    </row>
    <row r="393" spans="1:13" ht="15.75" customHeight="1">
      <c r="A393" s="120" t="s">
        <v>203</v>
      </c>
      <c r="D393" s="12"/>
      <c r="E393" s="12"/>
      <c r="F393" s="12"/>
      <c r="G393" s="76"/>
      <c r="H393" s="12"/>
      <c r="I393" s="12"/>
      <c r="J393" s="76"/>
      <c r="K393" s="12"/>
      <c r="L393" s="12"/>
      <c r="M393" s="12"/>
    </row>
    <row r="394" spans="4:13" ht="6" customHeight="1">
      <c r="D394" s="12"/>
      <c r="E394" s="12"/>
      <c r="F394" s="12"/>
      <c r="G394" s="76"/>
      <c r="H394" s="12"/>
      <c r="I394" s="12"/>
      <c r="J394" s="76"/>
      <c r="K394" s="12"/>
      <c r="L394" s="12"/>
      <c r="M394" s="12"/>
    </row>
    <row r="395" spans="2:13" ht="15.75" customHeight="1">
      <c r="B395" s="4" t="s">
        <v>224</v>
      </c>
      <c r="D395" s="3">
        <f>+D382/(B303*H390)</f>
        <v>4.4772727272727275</v>
      </c>
      <c r="E395" s="4" t="s">
        <v>699</v>
      </c>
      <c r="F395" s="12"/>
      <c r="G395" s="76"/>
      <c r="H395" s="12"/>
      <c r="I395" s="12"/>
      <c r="J395" s="76"/>
      <c r="K395" s="12"/>
      <c r="L395" s="12"/>
      <c r="M395" s="12"/>
    </row>
    <row r="396" spans="2:13" ht="6" customHeight="1">
      <c r="B396" s="4"/>
      <c r="D396" s="3"/>
      <c r="E396" s="4"/>
      <c r="F396" s="12"/>
      <c r="G396" s="76"/>
      <c r="H396" s="12"/>
      <c r="I396" s="12"/>
      <c r="J396" s="76"/>
      <c r="K396" s="12"/>
      <c r="L396" s="12"/>
      <c r="M396" s="12"/>
    </row>
    <row r="397" spans="1:13" ht="15.75" customHeight="1">
      <c r="A397" s="120" t="s">
        <v>225</v>
      </c>
      <c r="B397" s="4"/>
      <c r="D397" s="3"/>
      <c r="E397" s="4"/>
      <c r="F397" s="12"/>
      <c r="G397" s="76"/>
      <c r="H397" s="12"/>
      <c r="I397" s="12"/>
      <c r="J397" s="76"/>
      <c r="K397" s="12"/>
      <c r="L397" s="12"/>
      <c r="M397" s="12"/>
    </row>
    <row r="398" spans="2:13" ht="6" customHeight="1">
      <c r="B398" s="4"/>
      <c r="D398" s="3"/>
      <c r="E398" s="4"/>
      <c r="F398" s="12"/>
      <c r="G398" s="76"/>
      <c r="H398" s="12"/>
      <c r="I398" s="12"/>
      <c r="J398" s="76"/>
      <c r="K398" s="12"/>
      <c r="L398" s="12"/>
      <c r="M398" s="12"/>
    </row>
    <row r="399" spans="2:13" ht="15.75" customHeight="1">
      <c r="B399" s="120" t="s">
        <v>226</v>
      </c>
      <c r="D399" s="3"/>
      <c r="E399" s="341" t="s">
        <v>227</v>
      </c>
      <c r="G399" s="74" t="s">
        <v>228</v>
      </c>
      <c r="H399" s="10"/>
      <c r="I399" s="10"/>
      <c r="J399" s="136">
        <f>+B303*(D395-H303)/10^5</f>
        <v>0.4705</v>
      </c>
      <c r="K399" s="9" t="s">
        <v>701</v>
      </c>
      <c r="L399" s="12"/>
      <c r="M399" s="12"/>
    </row>
    <row r="400" spans="4:13" ht="6" customHeight="1">
      <c r="D400" s="12"/>
      <c r="E400" s="12"/>
      <c r="F400" s="12"/>
      <c r="G400" s="76"/>
      <c r="H400" s="12"/>
      <c r="I400" s="12"/>
      <c r="J400" s="76"/>
      <c r="K400" s="12"/>
      <c r="L400" s="12"/>
      <c r="M400" s="12"/>
    </row>
    <row r="401" spans="1:13" s="28" customFormat="1" ht="15.75" customHeight="1">
      <c r="A401" s="65" t="s">
        <v>2169</v>
      </c>
      <c r="B401" s="13"/>
      <c r="C401" s="14"/>
      <c r="D401" s="12"/>
      <c r="E401" s="15"/>
      <c r="F401" s="14"/>
      <c r="G401" s="12"/>
      <c r="H401" s="12"/>
      <c r="I401" s="12"/>
      <c r="J401" s="12"/>
      <c r="K401" s="12"/>
      <c r="L401" s="12"/>
      <c r="M401" s="12"/>
    </row>
    <row r="402" spans="1:13" s="28" customFormat="1" ht="6" customHeight="1">
      <c r="A402" s="14"/>
      <c r="B402" s="13"/>
      <c r="C402" s="14"/>
      <c r="D402" s="12"/>
      <c r="E402" s="15"/>
      <c r="F402" s="14"/>
      <c r="G402" s="12"/>
      <c r="H402" s="12"/>
      <c r="I402" s="12"/>
      <c r="J402" s="12"/>
      <c r="K402" s="12"/>
      <c r="L402" s="12"/>
      <c r="M402" s="12"/>
    </row>
    <row r="403" spans="1:13" s="28" customFormat="1" ht="15.75" customHeight="1">
      <c r="A403" s="14" t="s">
        <v>205</v>
      </c>
      <c r="B403" s="13"/>
      <c r="C403" s="14"/>
      <c r="D403" s="12"/>
      <c r="E403" s="15"/>
      <c r="F403" s="14"/>
      <c r="G403" s="12"/>
      <c r="H403" s="12"/>
      <c r="I403" s="12"/>
      <c r="J403" s="12"/>
      <c r="K403" s="12"/>
      <c r="L403" s="12"/>
      <c r="M403" s="12"/>
    </row>
    <row r="404" spans="1:13" s="28" customFormat="1" ht="15.75" customHeight="1">
      <c r="A404" s="14" t="s">
        <v>206</v>
      </c>
      <c r="B404" s="13"/>
      <c r="C404" s="14"/>
      <c r="D404" s="12"/>
      <c r="E404" s="15"/>
      <c r="F404" s="14"/>
      <c r="G404" s="12"/>
      <c r="H404" s="12"/>
      <c r="I404" s="12"/>
      <c r="J404" s="12"/>
      <c r="K404" s="12"/>
      <c r="L404" s="12"/>
      <c r="M404" s="12"/>
    </row>
    <row r="405" spans="1:13" s="28" customFormat="1" ht="15.75" customHeight="1">
      <c r="A405" s="14" t="s">
        <v>1128</v>
      </c>
      <c r="B405" s="13"/>
      <c r="C405" s="14"/>
      <c r="D405" s="12"/>
      <c r="E405" s="15"/>
      <c r="F405" s="14"/>
      <c r="G405" s="12"/>
      <c r="H405" s="12"/>
      <c r="I405" s="12"/>
      <c r="J405" s="12"/>
      <c r="K405" s="12"/>
      <c r="L405" s="12"/>
      <c r="M405" s="12"/>
    </row>
    <row r="406" spans="1:13" s="28" customFormat="1" ht="15.75" customHeight="1">
      <c r="A406" s="14" t="s">
        <v>1129</v>
      </c>
      <c r="B406" s="13"/>
      <c r="C406" s="14"/>
      <c r="D406" s="12"/>
      <c r="E406" s="15"/>
      <c r="F406" s="14"/>
      <c r="G406" s="12"/>
      <c r="H406" s="12"/>
      <c r="I406" s="12"/>
      <c r="J406" s="12"/>
      <c r="K406" s="12"/>
      <c r="L406" s="12"/>
      <c r="M406" s="12"/>
    </row>
    <row r="407" spans="1:13" s="28" customFormat="1" ht="15.75" customHeight="1">
      <c r="A407" s="14" t="s">
        <v>1130</v>
      </c>
      <c r="B407" s="13"/>
      <c r="C407" s="14"/>
      <c r="D407" s="12"/>
      <c r="E407" s="15"/>
      <c r="F407" s="14"/>
      <c r="G407" s="12"/>
      <c r="H407" s="12"/>
      <c r="I407" s="12"/>
      <c r="J407" s="12"/>
      <c r="K407" s="12"/>
      <c r="L407" s="12"/>
      <c r="M407" s="12"/>
    </row>
    <row r="408" spans="1:13" s="28" customFormat="1" ht="15.75" customHeight="1">
      <c r="A408" s="14" t="s">
        <v>1131</v>
      </c>
      <c r="B408" s="13"/>
      <c r="C408" s="14"/>
      <c r="D408" s="12"/>
      <c r="E408" s="15"/>
      <c r="F408" s="14"/>
      <c r="G408" s="12"/>
      <c r="H408" s="12"/>
      <c r="I408" s="12"/>
      <c r="J408" s="12"/>
      <c r="K408" s="12"/>
      <c r="L408" s="12"/>
      <c r="M408" s="12"/>
    </row>
    <row r="409" spans="1:13" s="28" customFormat="1" ht="15.75" customHeight="1">
      <c r="A409" s="14" t="s">
        <v>1132</v>
      </c>
      <c r="B409" s="13"/>
      <c r="C409" s="14"/>
      <c r="D409" s="12"/>
      <c r="E409" s="15"/>
      <c r="F409" s="14"/>
      <c r="G409" s="12"/>
      <c r="H409" s="12"/>
      <c r="I409" s="12"/>
      <c r="J409" s="12"/>
      <c r="K409" s="12"/>
      <c r="L409" s="12"/>
      <c r="M409" s="12"/>
    </row>
    <row r="410" spans="1:13" s="28" customFormat="1" ht="15.75" customHeight="1">
      <c r="A410" s="14" t="s">
        <v>1133</v>
      </c>
      <c r="B410" s="13"/>
      <c r="C410" s="14"/>
      <c r="D410" s="12"/>
      <c r="E410" s="15"/>
      <c r="F410" s="14"/>
      <c r="G410" s="12"/>
      <c r="H410" s="12"/>
      <c r="I410" s="12"/>
      <c r="J410" s="12"/>
      <c r="K410" s="12"/>
      <c r="L410" s="12"/>
      <c r="M410" s="12"/>
    </row>
    <row r="411" spans="2:13" s="28" customFormat="1" ht="6" customHeight="1">
      <c r="B411" s="13"/>
      <c r="C411" s="14"/>
      <c r="D411" s="12"/>
      <c r="E411" s="15"/>
      <c r="F411" s="14"/>
      <c r="G411" s="12"/>
      <c r="H411" s="12"/>
      <c r="I411" s="12"/>
      <c r="J411" s="12"/>
      <c r="K411" s="12"/>
      <c r="L411" s="12"/>
      <c r="M411" s="12"/>
    </row>
    <row r="412" spans="1:13" s="28" customFormat="1" ht="15.75" customHeight="1">
      <c r="A412" s="14" t="s">
        <v>2170</v>
      </c>
      <c r="B412" s="13"/>
      <c r="C412" s="14"/>
      <c r="D412" s="12"/>
      <c r="E412" s="15"/>
      <c r="F412" s="14"/>
      <c r="G412" s="12"/>
      <c r="H412" s="12"/>
      <c r="I412" s="12"/>
      <c r="J412" s="12"/>
      <c r="K412" s="12"/>
      <c r="L412" s="12"/>
      <c r="M412" s="12"/>
    </row>
    <row r="413" spans="1:13" s="28" customFormat="1" ht="6" customHeight="1">
      <c r="A413" s="14"/>
      <c r="B413" s="13"/>
      <c r="C413" s="14"/>
      <c r="D413" s="12"/>
      <c r="E413" s="15"/>
      <c r="F413" s="14"/>
      <c r="G413" s="12"/>
      <c r="H413" s="12"/>
      <c r="I413" s="12"/>
      <c r="J413" s="12"/>
      <c r="K413" s="12"/>
      <c r="L413" s="12"/>
      <c r="M413" s="12"/>
    </row>
    <row r="414" spans="1:13" s="28" customFormat="1" ht="15.75" customHeight="1">
      <c r="A414" s="14"/>
      <c r="B414" s="13"/>
      <c r="C414" s="14" t="s">
        <v>1936</v>
      </c>
      <c r="D414" s="12"/>
      <c r="E414" s="15"/>
      <c r="F414" s="14"/>
      <c r="G414" s="12" t="s">
        <v>2171</v>
      </c>
      <c r="H414" s="14" t="s">
        <v>2172</v>
      </c>
      <c r="I414" s="12"/>
      <c r="J414" s="13">
        <f>+D354</f>
        <v>22972.896279375364</v>
      </c>
      <c r="K414" s="14" t="s">
        <v>704</v>
      </c>
      <c r="L414" s="12"/>
      <c r="M414" s="12"/>
    </row>
    <row r="415" spans="1:13" s="28" customFormat="1" ht="6" customHeight="1">
      <c r="A415" s="14"/>
      <c r="B415" s="13"/>
      <c r="C415" s="14"/>
      <c r="D415" s="12"/>
      <c r="E415" s="15"/>
      <c r="F415" s="14"/>
      <c r="G415" s="12"/>
      <c r="H415" s="12"/>
      <c r="I415" s="12"/>
      <c r="J415" s="12"/>
      <c r="K415" s="12"/>
      <c r="L415" s="12"/>
      <c r="M415" s="12"/>
    </row>
    <row r="416" spans="1:13" s="28" customFormat="1" ht="15.75" customHeight="1">
      <c r="A416" s="14" t="s">
        <v>1134</v>
      </c>
      <c r="B416" s="13"/>
      <c r="C416" s="14"/>
      <c r="D416" s="12"/>
      <c r="E416" s="15"/>
      <c r="F416" s="14"/>
      <c r="G416" s="12"/>
      <c r="H416" s="12"/>
      <c r="I416" s="12"/>
      <c r="J416" s="12"/>
      <c r="K416" s="12"/>
      <c r="L416" s="12"/>
      <c r="M416" s="12"/>
    </row>
    <row r="417" spans="1:13" s="28" customFormat="1" ht="15.75" customHeight="1">
      <c r="A417" s="14" t="s">
        <v>839</v>
      </c>
      <c r="B417" s="13"/>
      <c r="C417" s="14"/>
      <c r="D417" s="12"/>
      <c r="E417" s="15"/>
      <c r="F417" s="14"/>
      <c r="G417" s="12"/>
      <c r="H417" s="12"/>
      <c r="I417" s="12"/>
      <c r="J417" s="12"/>
      <c r="K417" s="12"/>
      <c r="L417" s="12"/>
      <c r="M417" s="12"/>
    </row>
    <row r="418" spans="1:13" s="28" customFormat="1" ht="6" customHeight="1">
      <c r="A418" s="14"/>
      <c r="B418" s="13"/>
      <c r="C418" s="14"/>
      <c r="D418" s="12"/>
      <c r="E418" s="15"/>
      <c r="F418" s="14"/>
      <c r="G418" s="12"/>
      <c r="H418" s="12"/>
      <c r="I418" s="12"/>
      <c r="J418" s="12"/>
      <c r="K418" s="12"/>
      <c r="L418" s="12"/>
      <c r="M418" s="12"/>
    </row>
    <row r="419" spans="1:13" s="28" customFormat="1" ht="15.75" customHeight="1">
      <c r="A419" s="14"/>
      <c r="B419" s="13"/>
      <c r="C419" s="14" t="s">
        <v>1937</v>
      </c>
      <c r="D419" s="12"/>
      <c r="E419" s="15"/>
      <c r="F419" s="14"/>
      <c r="G419" s="3">
        <f>+(J414-B303*(1/3)*PI()*(G370^2)/4*E303)/(B303*PI()*(G370^2)/4)</f>
        <v>4.4772727272727275</v>
      </c>
      <c r="H419" s="4" t="s">
        <v>699</v>
      </c>
      <c r="I419" s="12"/>
      <c r="J419" s="12"/>
      <c r="K419" s="12"/>
      <c r="L419" s="12"/>
      <c r="M419" s="12"/>
    </row>
    <row r="420" spans="1:13" s="28" customFormat="1" ht="6" customHeight="1">
      <c r="A420" s="14"/>
      <c r="B420" s="13"/>
      <c r="C420" s="14"/>
      <c r="D420" s="12"/>
      <c r="E420" s="15"/>
      <c r="F420" s="14"/>
      <c r="G420" s="12"/>
      <c r="H420" s="12"/>
      <c r="I420" s="12"/>
      <c r="J420" s="12"/>
      <c r="K420" s="12"/>
      <c r="L420" s="12"/>
      <c r="M420" s="12"/>
    </row>
    <row r="421" spans="1:13" s="28" customFormat="1" ht="15.75" customHeight="1">
      <c r="A421" s="14" t="s">
        <v>1938</v>
      </c>
      <c r="B421" s="13"/>
      <c r="C421" s="14"/>
      <c r="D421" s="12"/>
      <c r="E421" s="15"/>
      <c r="F421" s="14"/>
      <c r="G421" s="12"/>
      <c r="H421" s="12"/>
      <c r="I421" s="12"/>
      <c r="J421" s="12"/>
      <c r="K421" s="12"/>
      <c r="L421" s="12"/>
      <c r="M421" s="12"/>
    </row>
    <row r="422" spans="1:13" s="28" customFormat="1" ht="6" customHeight="1">
      <c r="A422" s="14"/>
      <c r="B422" s="13"/>
      <c r="C422" s="14"/>
      <c r="D422" s="12"/>
      <c r="E422" s="15"/>
      <c r="F422" s="14"/>
      <c r="G422" s="12"/>
      <c r="H422" s="12"/>
      <c r="I422" s="12"/>
      <c r="J422" s="12"/>
      <c r="K422" s="12"/>
      <c r="L422" s="12"/>
      <c r="M422" s="12"/>
    </row>
    <row r="423" spans="1:13" s="28" customFormat="1" ht="15.75" customHeight="1">
      <c r="A423" s="120" t="s">
        <v>1939</v>
      </c>
      <c r="B423" s="13"/>
      <c r="C423" s="14"/>
      <c r="D423" s="12"/>
      <c r="E423" s="15"/>
      <c r="F423" s="14"/>
      <c r="G423" s="12"/>
      <c r="H423" s="12"/>
      <c r="I423" s="12"/>
      <c r="J423" s="12"/>
      <c r="K423" s="12"/>
      <c r="L423" s="12"/>
      <c r="M423" s="12"/>
    </row>
    <row r="424" spans="1:13" s="28" customFormat="1" ht="6" customHeight="1">
      <c r="A424" s="120"/>
      <c r="B424" s="13"/>
      <c r="C424" s="14"/>
      <c r="D424" s="12"/>
      <c r="E424" s="15"/>
      <c r="F424" s="14"/>
      <c r="G424" s="12"/>
      <c r="H424" s="12"/>
      <c r="I424" s="12"/>
      <c r="J424" s="12"/>
      <c r="K424" s="12"/>
      <c r="L424" s="12"/>
      <c r="M424" s="12"/>
    </row>
    <row r="425" spans="1:13" s="28" customFormat="1" ht="15.75" customHeight="1">
      <c r="A425" s="120"/>
      <c r="B425" s="14" t="s">
        <v>1940</v>
      </c>
      <c r="C425" s="12"/>
      <c r="E425" s="14" t="s">
        <v>1190</v>
      </c>
      <c r="G425" s="74" t="s">
        <v>228</v>
      </c>
      <c r="H425" s="10"/>
      <c r="I425" s="10"/>
      <c r="J425" s="136">
        <f>+B303*(G419-H303)/10^5</f>
        <v>0.4705</v>
      </c>
      <c r="K425" s="9" t="s">
        <v>701</v>
      </c>
      <c r="L425" s="12"/>
      <c r="M425" s="12"/>
    </row>
    <row r="426" ht="6" customHeight="1"/>
    <row r="427" spans="1:12" ht="6" customHeight="1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ht="6" customHeight="1"/>
    <row r="429" ht="15.75" customHeight="1">
      <c r="A429" s="85" t="s">
        <v>1638</v>
      </c>
    </row>
    <row r="430" ht="5.25" customHeight="1">
      <c r="A430" s="5"/>
    </row>
    <row r="431" ht="15.75" customHeight="1">
      <c r="A431" s="5" t="s">
        <v>112</v>
      </c>
    </row>
    <row r="432" ht="5.25" customHeight="1"/>
    <row r="433" spans="1:13" ht="15.75" customHeight="1">
      <c r="A433" s="2" t="s">
        <v>698</v>
      </c>
      <c r="B433" s="1">
        <v>11000</v>
      </c>
      <c r="C433" s="4" t="s">
        <v>713</v>
      </c>
      <c r="D433" s="1" t="s">
        <v>709</v>
      </c>
      <c r="E433" s="15">
        <v>0.4705</v>
      </c>
      <c r="F433" s="14" t="s">
        <v>701</v>
      </c>
      <c r="G433" s="1" t="s">
        <v>2095</v>
      </c>
      <c r="H433" s="3">
        <v>0.2</v>
      </c>
      <c r="I433" s="4" t="s">
        <v>699</v>
      </c>
      <c r="J433" s="1"/>
      <c r="K433" s="3"/>
      <c r="L433" s="4"/>
      <c r="M433" s="1"/>
    </row>
    <row r="434" spans="1:13" ht="15.75" customHeight="1">
      <c r="A434" s="2" t="s">
        <v>1635</v>
      </c>
      <c r="B434" s="1">
        <v>26000</v>
      </c>
      <c r="C434" s="4" t="s">
        <v>713</v>
      </c>
      <c r="D434" s="1" t="s">
        <v>2294</v>
      </c>
      <c r="E434" s="3">
        <v>1.5</v>
      </c>
      <c r="F434" s="4" t="s">
        <v>699</v>
      </c>
      <c r="G434" s="1" t="s">
        <v>2297</v>
      </c>
      <c r="H434" s="3">
        <v>1.5</v>
      </c>
      <c r="I434" s="4" t="s">
        <v>699</v>
      </c>
      <c r="J434" s="1"/>
      <c r="K434" s="3"/>
      <c r="L434" s="4"/>
      <c r="M434" s="1"/>
    </row>
    <row r="435" spans="1:13" ht="5.25" customHeight="1">
      <c r="A435" s="2"/>
      <c r="B435" s="1"/>
      <c r="C435" s="4"/>
      <c r="D435" s="1"/>
      <c r="E435" s="3"/>
      <c r="F435" s="4"/>
      <c r="G435" s="1"/>
      <c r="H435" s="3"/>
      <c r="I435" s="4"/>
      <c r="J435" s="1"/>
      <c r="K435" s="3"/>
      <c r="L435" s="4"/>
      <c r="M435" s="1"/>
    </row>
    <row r="436" spans="1:13" ht="15.75" customHeight="1">
      <c r="A436" s="5" t="s">
        <v>1639</v>
      </c>
      <c r="B436" s="1"/>
      <c r="C436" s="4"/>
      <c r="D436" s="1"/>
      <c r="E436" s="3"/>
      <c r="F436" s="4"/>
      <c r="G436" s="1"/>
      <c r="H436" s="3"/>
      <c r="I436" s="4"/>
      <c r="J436" s="1"/>
      <c r="K436" s="3"/>
      <c r="L436" s="4"/>
      <c r="M436" s="1"/>
    </row>
    <row r="437" spans="1:13" ht="5.25" customHeight="1">
      <c r="A437" s="2"/>
      <c r="B437" s="1"/>
      <c r="C437" s="4"/>
      <c r="D437" s="1"/>
      <c r="E437" s="3"/>
      <c r="F437" s="4"/>
      <c r="G437" s="1"/>
      <c r="H437" s="3"/>
      <c r="I437" s="4"/>
      <c r="J437" s="1"/>
      <c r="K437" s="3"/>
      <c r="L437" s="4"/>
      <c r="M437" s="1"/>
    </row>
    <row r="438" spans="1:13" ht="15.75" customHeight="1">
      <c r="A438" s="5" t="s">
        <v>113</v>
      </c>
      <c r="B438" s="1"/>
      <c r="C438" s="4"/>
      <c r="D438" s="1"/>
      <c r="E438" s="3"/>
      <c r="F438" s="4"/>
      <c r="G438" s="1"/>
      <c r="H438" s="3"/>
      <c r="I438" s="4"/>
      <c r="J438" s="1"/>
      <c r="K438" s="3"/>
      <c r="L438" s="4"/>
      <c r="M438" s="1"/>
    </row>
    <row r="439" spans="1:13" ht="5.25" customHeight="1">
      <c r="A439" s="1"/>
      <c r="B439" s="1"/>
      <c r="C439" s="1"/>
      <c r="D439" s="1"/>
      <c r="E439" s="3"/>
      <c r="F439" s="4"/>
      <c r="G439" s="1"/>
      <c r="H439" s="1"/>
      <c r="I439" s="1"/>
      <c r="J439" s="1"/>
      <c r="K439" s="1"/>
      <c r="L439" s="1"/>
      <c r="M439" s="1"/>
    </row>
    <row r="440" spans="1:13" ht="15.75" customHeight="1">
      <c r="A440" s="21" t="s">
        <v>2273</v>
      </c>
      <c r="B440" s="1"/>
      <c r="D440" s="5" t="s">
        <v>2275</v>
      </c>
      <c r="E440" s="1"/>
      <c r="G440" s="5" t="s">
        <v>2276</v>
      </c>
      <c r="H440" s="1"/>
      <c r="I440" s="1"/>
      <c r="J440" s="1"/>
      <c r="K440" s="1"/>
      <c r="L440" s="1"/>
      <c r="M440" s="1"/>
    </row>
    <row r="441" spans="1:13" ht="6" customHeight="1">
      <c r="A441" s="1"/>
      <c r="B441" s="1"/>
      <c r="C441" s="4"/>
      <c r="D441" s="1"/>
      <c r="E441" s="1"/>
      <c r="F441" s="4"/>
      <c r="G441" s="1"/>
      <c r="H441" s="1"/>
      <c r="I441" s="1"/>
      <c r="J441" s="1"/>
      <c r="K441" s="1"/>
      <c r="L441" s="1"/>
      <c r="M441" s="1"/>
    </row>
    <row r="442" spans="1:13" ht="15.75" customHeight="1">
      <c r="A442" s="1" t="s">
        <v>1630</v>
      </c>
      <c r="B442" s="3">
        <f>+(1/3)*PI()*H434^2/4*E434</f>
        <v>0.8835729338221293</v>
      </c>
      <c r="C442" s="4" t="s">
        <v>109</v>
      </c>
      <c r="D442" s="1" t="s">
        <v>1631</v>
      </c>
      <c r="E442" s="6">
        <f>+B442*B434</f>
        <v>22972.896279375364</v>
      </c>
      <c r="F442" s="22" t="s">
        <v>704</v>
      </c>
      <c r="G442" s="16"/>
      <c r="H442" s="12" t="s">
        <v>1632</v>
      </c>
      <c r="I442" s="6">
        <f>+E442</f>
        <v>22972.896279375364</v>
      </c>
      <c r="J442" s="22" t="s">
        <v>704</v>
      </c>
      <c r="K442" s="1"/>
      <c r="L442" s="1"/>
      <c r="M442" s="1"/>
    </row>
    <row r="443" spans="1:13" ht="6" customHeight="1">
      <c r="A443" s="1"/>
      <c r="B443" s="1"/>
      <c r="C443" s="1"/>
      <c r="D443" s="1"/>
      <c r="E443" s="3"/>
      <c r="F443" s="4"/>
      <c r="G443" s="1"/>
      <c r="H443" s="1"/>
      <c r="I443" s="1"/>
      <c r="J443" s="1"/>
      <c r="K443" s="1"/>
      <c r="L443" s="1"/>
      <c r="M443" s="1"/>
    </row>
    <row r="444" spans="1:13" ht="15.75" customHeight="1">
      <c r="A444" s="21" t="s">
        <v>2274</v>
      </c>
      <c r="B444" s="1"/>
      <c r="C444" s="1"/>
      <c r="D444" s="12"/>
      <c r="E444" s="12"/>
      <c r="F444" s="12"/>
      <c r="G444" s="5" t="s">
        <v>1899</v>
      </c>
      <c r="H444" s="1"/>
      <c r="I444" s="1"/>
      <c r="J444" s="5" t="s">
        <v>1636</v>
      </c>
      <c r="K444" s="1"/>
      <c r="L444" s="1"/>
      <c r="M444" s="1"/>
    </row>
    <row r="445" spans="1:13" ht="6" customHeight="1">
      <c r="A445" s="1"/>
      <c r="B445" s="1"/>
      <c r="C445" s="1"/>
      <c r="D445" s="1"/>
      <c r="E445" s="3"/>
      <c r="F445" s="4"/>
      <c r="G445" s="1"/>
      <c r="H445" s="1"/>
      <c r="I445" s="1"/>
      <c r="J445" s="1"/>
      <c r="K445" s="1"/>
      <c r="L445" s="1"/>
      <c r="M445" s="1"/>
    </row>
    <row r="446" spans="1:13" ht="15.75" customHeight="1">
      <c r="A446" s="1" t="s">
        <v>1765</v>
      </c>
      <c r="B446" s="3">
        <f>+E433*10^5/B433+H433</f>
        <v>4.4772727272727275</v>
      </c>
      <c r="C446" s="4" t="s">
        <v>699</v>
      </c>
      <c r="D446" s="1"/>
      <c r="E446" s="1"/>
      <c r="F446" s="4"/>
      <c r="G446" s="1"/>
      <c r="H446" s="1"/>
      <c r="I446" s="1"/>
      <c r="J446" s="1"/>
      <c r="K446" s="1"/>
      <c r="L446" s="1"/>
      <c r="M446" s="1"/>
    </row>
    <row r="447" spans="1:13" ht="6" customHeight="1">
      <c r="A447" s="1"/>
      <c r="B447" s="1"/>
      <c r="C447" s="1"/>
      <c r="D447" s="1"/>
      <c r="E447" s="3"/>
      <c r="F447" s="4"/>
      <c r="G447" s="1"/>
      <c r="H447" s="1"/>
      <c r="I447" s="1"/>
      <c r="J447" s="1"/>
      <c r="K447" s="1"/>
      <c r="L447" s="1"/>
      <c r="M447" s="1"/>
    </row>
    <row r="448" spans="1:13" ht="15.75" customHeight="1">
      <c r="A448" s="4" t="s">
        <v>1425</v>
      </c>
      <c r="B448" s="1"/>
      <c r="C448" s="1"/>
      <c r="D448" s="1"/>
      <c r="E448" s="3"/>
      <c r="F448" s="4"/>
      <c r="G448" s="21" t="s">
        <v>1637</v>
      </c>
      <c r="H448" s="1"/>
      <c r="I448" s="1"/>
      <c r="J448" s="1"/>
      <c r="K448" s="1"/>
      <c r="L448" s="1"/>
      <c r="M448" s="1"/>
    </row>
    <row r="449" spans="1:13" ht="6" customHeight="1">
      <c r="A449" s="1"/>
      <c r="B449" s="1"/>
      <c r="C449" s="1"/>
      <c r="D449" s="1"/>
      <c r="E449" s="3"/>
      <c r="F449" s="4"/>
      <c r="G449" s="1"/>
      <c r="H449" s="1"/>
      <c r="I449" s="1"/>
      <c r="J449" s="1"/>
      <c r="K449" s="1"/>
      <c r="L449" s="1"/>
      <c r="M449" s="1"/>
    </row>
    <row r="450" spans="1:13" ht="15.75" customHeight="1">
      <c r="A450" s="21" t="s">
        <v>1640</v>
      </c>
      <c r="B450" s="132">
        <f>+I442-B433*B446*PI()*((H434/E434)^2)/4*(H450^2)-B433*(1/3)*H450*PI()*((H434/E434)^2)/4*(H450^2)</f>
        <v>-1.4511419976770412E-07</v>
      </c>
      <c r="C450" s="21" t="s">
        <v>1641</v>
      </c>
      <c r="E450" s="3"/>
      <c r="F450" s="4"/>
      <c r="G450" s="10" t="s">
        <v>2295</v>
      </c>
      <c r="H450" s="8">
        <v>0.7500000000023078</v>
      </c>
      <c r="I450" s="10" t="s">
        <v>699</v>
      </c>
      <c r="J450" s="1"/>
      <c r="K450" s="1"/>
      <c r="L450" s="1"/>
      <c r="M450" s="1"/>
    </row>
    <row r="451" spans="1:13" ht="6" customHeight="1">
      <c r="A451" s="1"/>
      <c r="B451" s="1"/>
      <c r="C451" s="1"/>
      <c r="D451" s="1"/>
      <c r="E451" s="1"/>
      <c r="F451" s="1"/>
      <c r="G451" s="1"/>
      <c r="H451" s="3"/>
      <c r="I451" s="4"/>
      <c r="J451" s="2"/>
      <c r="K451" s="6"/>
      <c r="L451" s="22"/>
      <c r="M451" s="1"/>
    </row>
    <row r="452" spans="1:13" ht="6" customHeight="1">
      <c r="A452" s="87"/>
      <c r="B452" s="87"/>
      <c r="C452" s="87"/>
      <c r="D452" s="87"/>
      <c r="E452" s="90"/>
      <c r="F452" s="88"/>
      <c r="G452" s="87"/>
      <c r="H452" s="87"/>
      <c r="I452" s="87"/>
      <c r="J452" s="87"/>
      <c r="K452" s="87"/>
      <c r="L452" s="87"/>
      <c r="M452" s="1"/>
    </row>
    <row r="453" ht="6" customHeight="1"/>
    <row r="454" ht="15.75" customHeight="1">
      <c r="A454" s="85" t="s">
        <v>1642</v>
      </c>
    </row>
    <row r="455" ht="6" customHeight="1">
      <c r="A455" s="5"/>
    </row>
    <row r="456" ht="15.75" customHeight="1">
      <c r="A456" s="5" t="s">
        <v>112</v>
      </c>
    </row>
    <row r="457" ht="6" customHeight="1"/>
    <row r="458" spans="1:13" ht="15.75" customHeight="1">
      <c r="A458" s="2" t="s">
        <v>698</v>
      </c>
      <c r="B458" s="1">
        <v>6000</v>
      </c>
      <c r="C458" s="4" t="s">
        <v>713</v>
      </c>
      <c r="D458" s="1" t="s">
        <v>2286</v>
      </c>
      <c r="E458" s="3">
        <v>0.5</v>
      </c>
      <c r="F458" s="4" t="s">
        <v>699</v>
      </c>
      <c r="G458" s="1" t="s">
        <v>2513</v>
      </c>
      <c r="H458" s="3">
        <v>1.2</v>
      </c>
      <c r="I458" s="4" t="s">
        <v>699</v>
      </c>
      <c r="J458" s="1"/>
      <c r="K458" s="3"/>
      <c r="L458" s="4"/>
      <c r="M458" s="1"/>
    </row>
    <row r="459" spans="1:13" ht="15.75" customHeight="1">
      <c r="A459" s="2" t="s">
        <v>2277</v>
      </c>
      <c r="B459" s="1">
        <v>133362</v>
      </c>
      <c r="C459" s="4" t="s">
        <v>713</v>
      </c>
      <c r="D459" s="1" t="s">
        <v>1763</v>
      </c>
      <c r="E459" s="3">
        <v>2.5</v>
      </c>
      <c r="F459" s="4" t="s">
        <v>699</v>
      </c>
      <c r="G459" s="1" t="s">
        <v>2297</v>
      </c>
      <c r="H459" s="3">
        <v>0.15</v>
      </c>
      <c r="I459" s="4" t="s">
        <v>699</v>
      </c>
      <c r="J459" s="1"/>
      <c r="K459" s="1"/>
      <c r="L459" s="1"/>
      <c r="M459" s="1"/>
    </row>
    <row r="460" spans="1:13" ht="15.75" customHeight="1">
      <c r="A460" s="2" t="s">
        <v>2272</v>
      </c>
      <c r="B460" s="6">
        <v>11000</v>
      </c>
      <c r="C460" s="4" t="s">
        <v>713</v>
      </c>
      <c r="D460" s="1" t="s">
        <v>712</v>
      </c>
      <c r="E460" s="3">
        <v>6</v>
      </c>
      <c r="F460" s="4" t="s">
        <v>699</v>
      </c>
      <c r="G460" s="18"/>
      <c r="H460" s="133"/>
      <c r="I460" s="134"/>
      <c r="J460" s="12"/>
      <c r="K460" s="12"/>
      <c r="L460" s="12"/>
      <c r="M460" s="1"/>
    </row>
    <row r="461" spans="1:13" ht="6" customHeight="1">
      <c r="A461" s="2"/>
      <c r="B461" s="6"/>
      <c r="C461" s="4"/>
      <c r="D461" s="1"/>
      <c r="E461" s="3"/>
      <c r="F461" s="4"/>
      <c r="G461" s="18"/>
      <c r="H461" s="133"/>
      <c r="I461" s="134"/>
      <c r="J461" s="12"/>
      <c r="K461" s="12"/>
      <c r="L461" s="12"/>
      <c r="M461" s="1"/>
    </row>
    <row r="462" spans="1:13" ht="15.75" customHeight="1">
      <c r="A462" s="5" t="s">
        <v>1652</v>
      </c>
      <c r="B462" s="6"/>
      <c r="C462" s="4"/>
      <c r="D462" s="1"/>
      <c r="E462" s="3"/>
      <c r="F462" s="4"/>
      <c r="G462" s="18"/>
      <c r="H462" s="133"/>
      <c r="I462" s="134"/>
      <c r="J462" s="12"/>
      <c r="K462" s="12"/>
      <c r="L462" s="12"/>
      <c r="M462" s="1"/>
    </row>
    <row r="463" spans="1:13" ht="6" customHeight="1">
      <c r="A463" s="2"/>
      <c r="B463" s="6"/>
      <c r="C463" s="4"/>
      <c r="D463" s="1"/>
      <c r="E463" s="3"/>
      <c r="F463" s="4"/>
      <c r="G463" s="18"/>
      <c r="H463" s="133"/>
      <c r="I463" s="134"/>
      <c r="J463" s="12"/>
      <c r="K463" s="12"/>
      <c r="L463" s="12"/>
      <c r="M463" s="1"/>
    </row>
    <row r="464" spans="1:13" ht="15.75" customHeight="1">
      <c r="A464" s="5" t="s">
        <v>113</v>
      </c>
      <c r="B464" s="6"/>
      <c r="C464" s="4"/>
      <c r="D464" s="1"/>
      <c r="E464" s="3"/>
      <c r="F464" s="4"/>
      <c r="G464" s="18"/>
      <c r="H464" s="133"/>
      <c r="I464" s="134"/>
      <c r="J464" s="12"/>
      <c r="K464" s="12"/>
      <c r="L464" s="12"/>
      <c r="M464" s="1"/>
    </row>
    <row r="465" spans="1:13" ht="6" customHeight="1">
      <c r="A465" s="1"/>
      <c r="B465" s="1"/>
      <c r="C465" s="1"/>
      <c r="D465" s="1"/>
      <c r="E465" s="3"/>
      <c r="F465" s="4"/>
      <c r="G465" s="1"/>
      <c r="H465" s="1"/>
      <c r="I465" s="1"/>
      <c r="J465" s="1"/>
      <c r="K465" s="1"/>
      <c r="L465" s="1"/>
      <c r="M465" s="1"/>
    </row>
    <row r="466" spans="1:13" ht="15.75" customHeight="1">
      <c r="A466" s="21" t="s">
        <v>2273</v>
      </c>
      <c r="B466" s="1"/>
      <c r="D466" s="5" t="s">
        <v>1643</v>
      </c>
      <c r="E466" s="1"/>
      <c r="G466" s="5" t="s">
        <v>1644</v>
      </c>
      <c r="H466" s="1"/>
      <c r="I466" s="1"/>
      <c r="J466" s="1"/>
      <c r="K466" s="1"/>
      <c r="L466" s="1"/>
      <c r="M466" s="1"/>
    </row>
    <row r="467" spans="1:13" ht="6" customHeight="1">
      <c r="A467" s="1"/>
      <c r="B467" s="1"/>
      <c r="C467" s="4"/>
      <c r="D467" s="1"/>
      <c r="E467" s="1"/>
      <c r="F467" s="4"/>
      <c r="G467" s="1"/>
      <c r="H467" s="1"/>
      <c r="I467" s="1"/>
      <c r="J467" s="1"/>
      <c r="K467" s="1"/>
      <c r="L467" s="1"/>
      <c r="M467" s="1"/>
    </row>
    <row r="468" spans="1:13" ht="15.75" customHeight="1">
      <c r="A468" s="4" t="s">
        <v>1646</v>
      </c>
      <c r="C468" s="6">
        <f>+B460*PI()*(H459^2)/4*H458</f>
        <v>233.26325452904211</v>
      </c>
      <c r="D468" s="22" t="s">
        <v>704</v>
      </c>
      <c r="F468" s="12" t="s">
        <v>1632</v>
      </c>
      <c r="G468" s="13">
        <f>+C468</f>
        <v>233.26325452904211</v>
      </c>
      <c r="H468" s="25" t="s">
        <v>704</v>
      </c>
      <c r="I468" s="12"/>
      <c r="J468" s="2"/>
      <c r="K468" s="6"/>
      <c r="L468" s="22"/>
      <c r="M468" s="1"/>
    </row>
    <row r="469" spans="1:13" ht="6" customHeight="1">
      <c r="A469" s="1"/>
      <c r="B469" s="1"/>
      <c r="C469" s="1"/>
      <c r="D469" s="1"/>
      <c r="E469" s="3"/>
      <c r="F469" s="4"/>
      <c r="G469" s="1"/>
      <c r="H469" s="1"/>
      <c r="I469" s="1"/>
      <c r="J469" s="1"/>
      <c r="K469" s="1"/>
      <c r="L469" s="1"/>
      <c r="M469" s="1"/>
    </row>
    <row r="470" spans="1:13" ht="15.75" customHeight="1">
      <c r="A470" s="21" t="s">
        <v>2274</v>
      </c>
      <c r="B470" s="1"/>
      <c r="C470" s="1"/>
      <c r="D470" s="12"/>
      <c r="E470" s="12"/>
      <c r="F470" s="12"/>
      <c r="G470" s="5" t="s">
        <v>1779</v>
      </c>
      <c r="H470" s="1"/>
      <c r="I470" s="1"/>
      <c r="J470" s="5" t="s">
        <v>1633</v>
      </c>
      <c r="K470" s="1"/>
      <c r="L470" s="12"/>
      <c r="M470" s="12"/>
    </row>
    <row r="471" spans="1:13" ht="6" customHeight="1">
      <c r="A471" s="1"/>
      <c r="B471" s="1"/>
      <c r="C471" s="1"/>
      <c r="D471" s="1"/>
      <c r="E471" s="3"/>
      <c r="F471" s="4"/>
      <c r="G471" s="1"/>
      <c r="H471" s="1"/>
      <c r="I471" s="1"/>
      <c r="J471" s="1"/>
      <c r="K471" s="1"/>
      <c r="L471" s="1"/>
      <c r="M471" s="1"/>
    </row>
    <row r="472" spans="1:13" ht="15.75" customHeight="1">
      <c r="A472" s="1" t="s">
        <v>1781</v>
      </c>
      <c r="B472" s="3">
        <f>+PI()*H459^2/4*E458</f>
        <v>0.008835729338221293</v>
      </c>
      <c r="C472" s="4" t="s">
        <v>109</v>
      </c>
      <c r="D472" s="1" t="s">
        <v>2303</v>
      </c>
      <c r="E472" s="6">
        <f>+B472*B458</f>
        <v>53.014376029327764</v>
      </c>
      <c r="F472" s="22" t="s">
        <v>704</v>
      </c>
      <c r="G472" s="1"/>
      <c r="H472" s="12"/>
      <c r="I472" s="12"/>
      <c r="J472" s="12"/>
      <c r="K472" s="12"/>
      <c r="L472" s="12"/>
      <c r="M472" s="12"/>
    </row>
    <row r="473" spans="1:13" ht="6" customHeight="1">
      <c r="A473" s="1"/>
      <c r="B473" s="1"/>
      <c r="C473" s="4"/>
      <c r="D473" s="1"/>
      <c r="E473" s="1"/>
      <c r="F473" s="4"/>
      <c r="G473" s="1"/>
      <c r="H473" s="1"/>
      <c r="I473" s="1"/>
      <c r="J473" s="1"/>
      <c r="K473" s="1"/>
      <c r="L473" s="1"/>
      <c r="M473" s="1"/>
    </row>
    <row r="474" spans="1:13" ht="15.75" customHeight="1">
      <c r="A474" s="2" t="s">
        <v>1647</v>
      </c>
      <c r="C474" s="6">
        <f>+G468-E472</f>
        <v>180.24887849971435</v>
      </c>
      <c r="D474" s="22" t="s">
        <v>704</v>
      </c>
      <c r="E474" s="1" t="s">
        <v>2517</v>
      </c>
      <c r="F474" s="3">
        <f>+PI()*(H459^2)/4</f>
        <v>0.017671458676442587</v>
      </c>
      <c r="G474" s="4" t="s">
        <v>108</v>
      </c>
      <c r="I474" s="1" t="s">
        <v>1765</v>
      </c>
      <c r="J474" s="3">
        <f>+C474/(B458*F474)</f>
        <v>1.6999999999999995</v>
      </c>
      <c r="K474" s="4" t="s">
        <v>699</v>
      </c>
      <c r="M474" s="1"/>
    </row>
    <row r="475" spans="1:13" ht="6" customHeight="1">
      <c r="A475" s="1"/>
      <c r="B475" s="1"/>
      <c r="C475" s="1"/>
      <c r="D475" s="1"/>
      <c r="E475" s="3"/>
      <c r="F475" s="4"/>
      <c r="G475" s="1"/>
      <c r="H475" s="1"/>
      <c r="I475" s="1"/>
      <c r="J475" s="1"/>
      <c r="K475" s="1"/>
      <c r="L475" s="1"/>
      <c r="M475" s="1"/>
    </row>
    <row r="476" spans="1:13" ht="15.75" customHeight="1">
      <c r="A476" s="1" t="s">
        <v>2278</v>
      </c>
      <c r="B476" s="1">
        <f>+B458*(J474+E460)</f>
        <v>46199.99999999999</v>
      </c>
      <c r="C476" s="4" t="s">
        <v>700</v>
      </c>
      <c r="D476" s="1" t="s">
        <v>1645</v>
      </c>
      <c r="E476" s="1">
        <f>+B458*E459</f>
        <v>15000</v>
      </c>
      <c r="F476" s="4" t="s">
        <v>700</v>
      </c>
      <c r="G476" s="7" t="s">
        <v>702</v>
      </c>
      <c r="H476" s="8">
        <f>+(B476-E476)/B459</f>
        <v>0.23394970081432487</v>
      </c>
      <c r="I476" s="9" t="s">
        <v>699</v>
      </c>
      <c r="J476" s="1"/>
      <c r="K476" s="1"/>
      <c r="L476" s="22"/>
      <c r="M476" s="1"/>
    </row>
    <row r="477" spans="1:13" ht="6" customHeight="1">
      <c r="A477" s="1"/>
      <c r="B477" s="1"/>
      <c r="C477" s="1"/>
      <c r="D477" s="1"/>
      <c r="E477" s="3"/>
      <c r="F477" s="4"/>
      <c r="G477" s="1"/>
      <c r="H477" s="1"/>
      <c r="I477" s="1"/>
      <c r="J477" s="1"/>
      <c r="K477" s="1"/>
      <c r="L477" s="1"/>
      <c r="M477" s="1"/>
    </row>
    <row r="478" spans="1:13" ht="6" customHeight="1">
      <c r="A478" s="87"/>
      <c r="B478" s="87"/>
      <c r="C478" s="88"/>
      <c r="D478" s="87"/>
      <c r="E478" s="87"/>
      <c r="F478" s="88"/>
      <c r="G478" s="87"/>
      <c r="H478" s="87"/>
      <c r="I478" s="87"/>
      <c r="J478" s="87"/>
      <c r="K478" s="87"/>
      <c r="L478" s="87"/>
      <c r="M478" s="12"/>
    </row>
    <row r="479" ht="6" customHeight="1"/>
    <row r="480" ht="15.75" customHeight="1">
      <c r="A480" s="85" t="s">
        <v>1648</v>
      </c>
    </row>
    <row r="481" ht="6" customHeight="1">
      <c r="A481" s="5"/>
    </row>
    <row r="482" ht="15.75" customHeight="1">
      <c r="A482" s="5" t="s">
        <v>112</v>
      </c>
    </row>
    <row r="483" ht="6" customHeight="1"/>
    <row r="484" spans="1:13" ht="15.75" customHeight="1">
      <c r="A484" s="2" t="s">
        <v>698</v>
      </c>
      <c r="B484" s="1">
        <v>6000</v>
      </c>
      <c r="C484" s="4" t="s">
        <v>713</v>
      </c>
      <c r="D484" s="1" t="s">
        <v>2295</v>
      </c>
      <c r="E484" s="3">
        <v>0.5</v>
      </c>
      <c r="F484" s="4" t="s">
        <v>699</v>
      </c>
      <c r="G484" s="1" t="s">
        <v>2513</v>
      </c>
      <c r="H484" s="3">
        <v>1.2</v>
      </c>
      <c r="I484" s="4" t="s">
        <v>699</v>
      </c>
      <c r="J484" s="1"/>
      <c r="K484" s="3"/>
      <c r="L484" s="4"/>
      <c r="M484" s="1"/>
    </row>
    <row r="485" spans="1:13" ht="15.75" customHeight="1">
      <c r="A485" s="2" t="s">
        <v>2277</v>
      </c>
      <c r="B485" s="1">
        <v>133362</v>
      </c>
      <c r="C485" s="4" t="s">
        <v>713</v>
      </c>
      <c r="D485" s="1" t="s">
        <v>1763</v>
      </c>
      <c r="E485" s="3">
        <v>2.5</v>
      </c>
      <c r="F485" s="4" t="s">
        <v>699</v>
      </c>
      <c r="G485" s="1" t="s">
        <v>2297</v>
      </c>
      <c r="H485" s="3">
        <v>0.15</v>
      </c>
      <c r="I485" s="4" t="s">
        <v>699</v>
      </c>
      <c r="J485" s="1"/>
      <c r="K485" s="1"/>
      <c r="L485" s="1"/>
      <c r="M485" s="1"/>
    </row>
    <row r="486" spans="1:13" ht="15.75" customHeight="1">
      <c r="A486" s="16" t="s">
        <v>702</v>
      </c>
      <c r="B486" s="15">
        <v>0.23394970081432487</v>
      </c>
      <c r="C486" s="14" t="s">
        <v>699</v>
      </c>
      <c r="D486" s="1" t="s">
        <v>712</v>
      </c>
      <c r="E486" s="3">
        <v>6</v>
      </c>
      <c r="F486" s="4" t="s">
        <v>699</v>
      </c>
      <c r="G486" s="2" t="s">
        <v>2272</v>
      </c>
      <c r="H486" s="6">
        <v>11000</v>
      </c>
      <c r="I486" s="4" t="s">
        <v>713</v>
      </c>
      <c r="J486" s="12"/>
      <c r="K486" s="12"/>
      <c r="L486" s="12"/>
      <c r="M486" s="1"/>
    </row>
    <row r="487" spans="1:13" ht="6" customHeight="1">
      <c r="A487" s="16"/>
      <c r="B487" s="15"/>
      <c r="C487" s="14"/>
      <c r="D487" s="1"/>
      <c r="E487" s="3"/>
      <c r="F487" s="4"/>
      <c r="G487" s="2"/>
      <c r="H487" s="6"/>
      <c r="I487" s="4"/>
      <c r="J487" s="12"/>
      <c r="K487" s="12"/>
      <c r="L487" s="12"/>
      <c r="M487" s="1"/>
    </row>
    <row r="488" spans="1:13" ht="15.75" customHeight="1">
      <c r="A488" s="5" t="s">
        <v>1653</v>
      </c>
      <c r="B488" s="15"/>
      <c r="C488" s="14"/>
      <c r="D488" s="1"/>
      <c r="E488" s="3"/>
      <c r="F488" s="4"/>
      <c r="G488" s="2"/>
      <c r="H488" s="6"/>
      <c r="I488" s="4"/>
      <c r="J488" s="12"/>
      <c r="K488" s="12"/>
      <c r="L488" s="12"/>
      <c r="M488" s="1"/>
    </row>
    <row r="489" spans="1:13" ht="6" customHeight="1">
      <c r="A489" s="2"/>
      <c r="B489" s="15"/>
      <c r="C489" s="14"/>
      <c r="D489" s="1"/>
      <c r="E489" s="3"/>
      <c r="F489" s="4"/>
      <c r="G489" s="2"/>
      <c r="H489" s="6"/>
      <c r="I489" s="4"/>
      <c r="J489" s="12"/>
      <c r="K489" s="12"/>
      <c r="L489" s="12"/>
      <c r="M489" s="1"/>
    </row>
    <row r="490" spans="1:13" ht="15.75" customHeight="1">
      <c r="A490" s="5" t="s">
        <v>113</v>
      </c>
      <c r="B490" s="15"/>
      <c r="C490" s="14"/>
      <c r="D490" s="1"/>
      <c r="E490" s="3"/>
      <c r="F490" s="4"/>
      <c r="G490" s="2"/>
      <c r="H490" s="6"/>
      <c r="I490" s="4"/>
      <c r="J490" s="12"/>
      <c r="K490" s="12"/>
      <c r="L490" s="12"/>
      <c r="M490" s="1"/>
    </row>
    <row r="491" spans="1:13" ht="6" customHeight="1">
      <c r="A491" s="1"/>
      <c r="B491" s="1"/>
      <c r="C491" s="1"/>
      <c r="D491" s="1"/>
      <c r="E491" s="3"/>
      <c r="F491" s="4"/>
      <c r="G491" s="1"/>
      <c r="H491" s="1"/>
      <c r="I491" s="1"/>
      <c r="J491" s="1"/>
      <c r="K491" s="1"/>
      <c r="L491" s="1"/>
      <c r="M491" s="1"/>
    </row>
    <row r="492" spans="1:13" ht="15.75" customHeight="1">
      <c r="A492" s="1" t="s">
        <v>1645</v>
      </c>
      <c r="B492" s="1">
        <f>+E485*B484</f>
        <v>15000</v>
      </c>
      <c r="C492" s="4" t="s">
        <v>700</v>
      </c>
      <c r="D492" s="1" t="s">
        <v>2278</v>
      </c>
      <c r="E492" s="1">
        <f>+B492+B486*B485</f>
        <v>46199.99999999999</v>
      </c>
      <c r="F492" s="4" t="s">
        <v>700</v>
      </c>
      <c r="G492" s="1" t="s">
        <v>2280</v>
      </c>
      <c r="H492" s="3">
        <f>+E492/B484</f>
        <v>7.699999999999998</v>
      </c>
      <c r="I492" s="4" t="s">
        <v>699</v>
      </c>
      <c r="J492" s="1"/>
      <c r="K492" s="1"/>
      <c r="L492" s="1"/>
      <c r="M492" s="1"/>
    </row>
    <row r="493" spans="1:13" ht="6" customHeight="1">
      <c r="A493" s="1"/>
      <c r="B493" s="1"/>
      <c r="C493" s="1"/>
      <c r="D493" s="1"/>
      <c r="E493" s="3"/>
      <c r="F493" s="4"/>
      <c r="G493" s="1"/>
      <c r="H493" s="1"/>
      <c r="I493" s="1"/>
      <c r="J493" s="1"/>
      <c r="K493" s="1"/>
      <c r="L493" s="1"/>
      <c r="M493" s="1"/>
    </row>
    <row r="494" spans="1:13" ht="15.75" customHeight="1">
      <c r="A494" s="21" t="s">
        <v>2274</v>
      </c>
      <c r="B494" s="1"/>
      <c r="C494" s="1"/>
      <c r="D494" s="12"/>
      <c r="E494" s="12"/>
      <c r="F494" s="12"/>
      <c r="G494" s="5" t="s">
        <v>1649</v>
      </c>
      <c r="H494" s="1"/>
      <c r="I494" s="1"/>
      <c r="J494" s="5" t="s">
        <v>1636</v>
      </c>
      <c r="K494" s="1"/>
      <c r="L494" s="12"/>
      <c r="M494" s="12"/>
    </row>
    <row r="495" spans="1:13" ht="6" customHeight="1">
      <c r="A495" s="1"/>
      <c r="B495" s="1"/>
      <c r="C495" s="1"/>
      <c r="D495" s="1"/>
      <c r="E495" s="3"/>
      <c r="F495" s="4"/>
      <c r="G495" s="1"/>
      <c r="H495" s="1"/>
      <c r="I495" s="1"/>
      <c r="J495" s="1"/>
      <c r="K495" s="1"/>
      <c r="L495" s="1"/>
      <c r="M495" s="1"/>
    </row>
    <row r="496" spans="1:13" ht="15.75" customHeight="1">
      <c r="A496" s="1" t="s">
        <v>1765</v>
      </c>
      <c r="B496" s="3">
        <f>+H492-E486</f>
        <v>1.6999999999999984</v>
      </c>
      <c r="C496" s="4" t="s">
        <v>699</v>
      </c>
      <c r="D496" s="1" t="s">
        <v>1650</v>
      </c>
      <c r="E496" s="1">
        <f>+B484*B496</f>
        <v>10199.99999999999</v>
      </c>
      <c r="F496" s="4" t="s">
        <v>700</v>
      </c>
      <c r="G496" s="1" t="s">
        <v>2517</v>
      </c>
      <c r="H496" s="3">
        <f>+PI()*(H485^2)/4</f>
        <v>0.017671458676442587</v>
      </c>
      <c r="I496" s="4" t="s">
        <v>108</v>
      </c>
      <c r="M496" s="1"/>
    </row>
    <row r="497" spans="1:13" ht="6" customHeight="1">
      <c r="A497" s="1"/>
      <c r="B497" s="3"/>
      <c r="C497" s="4"/>
      <c r="D497" s="1"/>
      <c r="E497" s="1"/>
      <c r="F497" s="4"/>
      <c r="G497" s="1"/>
      <c r="H497" s="3"/>
      <c r="I497" s="4"/>
      <c r="J497" s="2"/>
      <c r="K497" s="6"/>
      <c r="L497" s="22"/>
      <c r="M497" s="1"/>
    </row>
    <row r="498" spans="1:13" ht="15.75" customHeight="1">
      <c r="A498" s="2" t="s">
        <v>1761</v>
      </c>
      <c r="B498" s="6">
        <f>+E496*H496</f>
        <v>180.24887849971424</v>
      </c>
      <c r="C498" s="22" t="s">
        <v>704</v>
      </c>
      <c r="G498" s="1"/>
      <c r="H498" s="3"/>
      <c r="I498" s="4"/>
      <c r="J498" s="2"/>
      <c r="K498" s="6"/>
      <c r="L498" s="22"/>
      <c r="M498" s="1"/>
    </row>
    <row r="499" spans="1:13" ht="6" customHeight="1">
      <c r="A499" s="1"/>
      <c r="B499" s="1"/>
      <c r="C499" s="1"/>
      <c r="D499" s="1"/>
      <c r="E499" s="3"/>
      <c r="F499" s="4"/>
      <c r="G499" s="1"/>
      <c r="H499" s="1"/>
      <c r="I499" s="1"/>
      <c r="J499" s="1"/>
      <c r="K499" s="1"/>
      <c r="L499" s="1"/>
      <c r="M499" s="1"/>
    </row>
    <row r="500" spans="1:13" ht="15.75" customHeight="1">
      <c r="A500" s="1" t="s">
        <v>1781</v>
      </c>
      <c r="B500" s="3">
        <f>+PI()*H485^2/4*E484</f>
        <v>0.008835729338221293</v>
      </c>
      <c r="C500" s="4" t="s">
        <v>109</v>
      </c>
      <c r="D500" s="1" t="s">
        <v>2303</v>
      </c>
      <c r="E500" s="6">
        <f>+B500*B484</f>
        <v>53.014376029327764</v>
      </c>
      <c r="F500" s="22" t="s">
        <v>704</v>
      </c>
      <c r="G500" s="12" t="s">
        <v>1632</v>
      </c>
      <c r="H500" s="6">
        <f>+E500+B498</f>
        <v>233.263254529042</v>
      </c>
      <c r="I500" s="22" t="s">
        <v>704</v>
      </c>
      <c r="M500" s="1"/>
    </row>
    <row r="501" spans="1:13" ht="6" customHeight="1">
      <c r="A501" s="1"/>
      <c r="B501" s="1"/>
      <c r="C501" s="4"/>
      <c r="D501" s="1"/>
      <c r="E501" s="1"/>
      <c r="F501" s="4"/>
      <c r="G501" s="1"/>
      <c r="H501" s="1"/>
      <c r="I501" s="1"/>
      <c r="J501" s="1"/>
      <c r="K501" s="1"/>
      <c r="L501" s="1"/>
      <c r="M501" s="1"/>
    </row>
    <row r="502" spans="1:13" ht="15.75" customHeight="1">
      <c r="A502" s="21" t="s">
        <v>2273</v>
      </c>
      <c r="B502" s="1"/>
      <c r="C502" s="5" t="s">
        <v>1643</v>
      </c>
      <c r="D502" s="1"/>
      <c r="E502" s="1"/>
      <c r="F502" s="5" t="s">
        <v>1651</v>
      </c>
      <c r="G502" s="1"/>
      <c r="H502" s="1"/>
      <c r="I502" s="1"/>
      <c r="J502" s="1"/>
      <c r="K502" s="1"/>
      <c r="L502" s="1"/>
      <c r="M502" s="1"/>
    </row>
    <row r="503" spans="1:13" ht="6" customHeight="1">
      <c r="A503" s="1"/>
      <c r="B503" s="1"/>
      <c r="C503" s="4"/>
      <c r="D503" s="1"/>
      <c r="E503" s="1"/>
      <c r="F503" s="4"/>
      <c r="G503" s="1"/>
      <c r="H503" s="1"/>
      <c r="I503" s="1"/>
      <c r="J503" s="1"/>
      <c r="K503" s="1"/>
      <c r="L503" s="1"/>
      <c r="M503" s="1"/>
    </row>
    <row r="504" spans="1:13" ht="15.75" customHeight="1">
      <c r="A504" s="4" t="s">
        <v>1654</v>
      </c>
      <c r="C504" s="6">
        <f>+H500</f>
        <v>233.263254529042</v>
      </c>
      <c r="D504" s="22" t="s">
        <v>704</v>
      </c>
      <c r="F504" s="1" t="s">
        <v>1630</v>
      </c>
      <c r="G504" s="3">
        <f>+PI()*H485^2/4*H484</f>
        <v>0.021205750411731103</v>
      </c>
      <c r="H504" s="4" t="s">
        <v>109</v>
      </c>
      <c r="M504" s="1"/>
    </row>
    <row r="505" spans="1:13" ht="15.75" customHeight="1">
      <c r="A505" s="4"/>
      <c r="C505" s="6"/>
      <c r="D505" s="22"/>
      <c r="F505" s="1"/>
      <c r="G505" s="3"/>
      <c r="H505" s="4"/>
      <c r="J505" s="16"/>
      <c r="K505" s="13"/>
      <c r="L505" s="14"/>
      <c r="M505" s="1"/>
    </row>
    <row r="506" spans="1:13" ht="15.75" customHeight="1">
      <c r="A506" s="7" t="s">
        <v>2272</v>
      </c>
      <c r="B506" s="11">
        <f>+C504/G504</f>
        <v>10999.999999999995</v>
      </c>
      <c r="C506" s="9" t="s">
        <v>713</v>
      </c>
      <c r="D506" s="22"/>
      <c r="F506" s="1"/>
      <c r="G506" s="3"/>
      <c r="H506" s="4"/>
      <c r="J506" s="16"/>
      <c r="K506" s="13"/>
      <c r="L506" s="14"/>
      <c r="M506" s="1"/>
    </row>
    <row r="507" spans="1:13" ht="6" customHeight="1">
      <c r="A507" s="1"/>
      <c r="B507" s="1"/>
      <c r="C507" s="4"/>
      <c r="D507" s="1"/>
      <c r="E507" s="1"/>
      <c r="F507" s="4"/>
      <c r="G507" s="1"/>
      <c r="H507" s="1"/>
      <c r="I507" s="1"/>
      <c r="J507" s="1"/>
      <c r="K507" s="1"/>
      <c r="L507" s="1"/>
      <c r="M507" s="1"/>
    </row>
    <row r="508" spans="1:12" ht="6" customHeight="1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</row>
    <row r="509" ht="6" customHeight="1"/>
    <row r="510" ht="15.75" customHeight="1">
      <c r="A510" s="85" t="s">
        <v>814</v>
      </c>
    </row>
    <row r="511" ht="6" customHeight="1">
      <c r="A511" s="5"/>
    </row>
    <row r="512" ht="15.75" customHeight="1">
      <c r="A512" s="5" t="s">
        <v>112</v>
      </c>
    </row>
    <row r="513" spans="1:9" ht="15.75" customHeight="1">
      <c r="A513" s="2" t="s">
        <v>698</v>
      </c>
      <c r="B513" s="1">
        <v>9806</v>
      </c>
      <c r="C513" s="4" t="s">
        <v>713</v>
      </c>
      <c r="D513" s="1" t="s">
        <v>2286</v>
      </c>
      <c r="E513" s="3">
        <v>1</v>
      </c>
      <c r="F513" s="22" t="s">
        <v>699</v>
      </c>
      <c r="G513" s="2" t="s">
        <v>702</v>
      </c>
      <c r="H513" s="3">
        <v>0.4</v>
      </c>
      <c r="I513" s="22" t="s">
        <v>699</v>
      </c>
    </row>
    <row r="514" spans="1:12" ht="15.75" customHeight="1">
      <c r="A514" s="2" t="s">
        <v>2277</v>
      </c>
      <c r="B514" s="1">
        <v>133362</v>
      </c>
      <c r="C514" s="4" t="s">
        <v>713</v>
      </c>
      <c r="D514" s="1" t="s">
        <v>711</v>
      </c>
      <c r="E514" s="3">
        <v>2</v>
      </c>
      <c r="F514" s="22" t="s">
        <v>699</v>
      </c>
      <c r="G514" s="1" t="s">
        <v>2509</v>
      </c>
      <c r="H514" s="3">
        <v>2.1</v>
      </c>
      <c r="I514" s="22" t="s">
        <v>699</v>
      </c>
      <c r="J514" s="1"/>
      <c r="K514" s="1"/>
      <c r="L514" s="1"/>
    </row>
    <row r="515" spans="1:12" ht="6" customHeight="1">
      <c r="A515" s="2"/>
      <c r="B515" s="1"/>
      <c r="C515" s="4"/>
      <c r="D515" s="1"/>
      <c r="E515" s="3"/>
      <c r="F515" s="22"/>
      <c r="G515" s="1"/>
      <c r="H515" s="1"/>
      <c r="I515" s="1"/>
      <c r="J515" s="1"/>
      <c r="K515" s="1"/>
      <c r="L515" s="1"/>
    </row>
    <row r="516" spans="1:12" ht="15.75" customHeight="1">
      <c r="A516" s="5" t="s">
        <v>101</v>
      </c>
      <c r="B516" s="1"/>
      <c r="C516" s="4"/>
      <c r="D516" s="1"/>
      <c r="E516" s="3"/>
      <c r="F516" s="22"/>
      <c r="G516" s="1"/>
      <c r="H516" s="1"/>
      <c r="I516" s="1"/>
      <c r="J516" s="1"/>
      <c r="K516" s="1"/>
      <c r="L516" s="1"/>
    </row>
    <row r="517" spans="1:12" ht="15.75" customHeight="1">
      <c r="A517" s="4" t="s">
        <v>1424</v>
      </c>
      <c r="B517" s="1"/>
      <c r="C517" s="4"/>
      <c r="D517" s="1"/>
      <c r="E517" s="3"/>
      <c r="F517" s="22"/>
      <c r="G517" s="1"/>
      <c r="H517" s="1"/>
      <c r="I517" s="1"/>
      <c r="J517" s="1"/>
      <c r="K517" s="1"/>
      <c r="L517" s="1"/>
    </row>
    <row r="518" spans="1:12" ht="6" customHeight="1">
      <c r="A518" s="2"/>
      <c r="B518" s="1"/>
      <c r="C518" s="4"/>
      <c r="D518" s="1"/>
      <c r="E518" s="3"/>
      <c r="F518" s="22"/>
      <c r="G518" s="1"/>
      <c r="H518" s="1"/>
      <c r="I518" s="1"/>
      <c r="J518" s="1"/>
      <c r="K518" s="1"/>
      <c r="L518" s="1"/>
    </row>
    <row r="519" spans="1:12" ht="15.75" customHeight="1">
      <c r="A519" s="5" t="s">
        <v>113</v>
      </c>
      <c r="B519" s="1"/>
      <c r="C519" s="4"/>
      <c r="D519" s="1"/>
      <c r="E519" s="3"/>
      <c r="F519" s="22"/>
      <c r="G519" s="1"/>
      <c r="H519" s="1"/>
      <c r="I519" s="1"/>
      <c r="J519" s="1"/>
      <c r="K519" s="1"/>
      <c r="L519" s="1"/>
    </row>
    <row r="520" spans="1:12" ht="6" customHeight="1">
      <c r="A520" s="5"/>
      <c r="B520" s="1"/>
      <c r="C520" s="4"/>
      <c r="D520" s="1"/>
      <c r="E520" s="3"/>
      <c r="F520" s="22"/>
      <c r="G520" s="1"/>
      <c r="H520" s="1"/>
      <c r="I520" s="1"/>
      <c r="J520" s="1"/>
      <c r="K520" s="1"/>
      <c r="L520" s="1"/>
    </row>
    <row r="521" spans="1:12" ht="15.75" customHeight="1">
      <c r="A521" s="4" t="s">
        <v>1135</v>
      </c>
      <c r="B521" s="1"/>
      <c r="C521" s="4"/>
      <c r="D521" s="1"/>
      <c r="E521" s="3"/>
      <c r="F521" s="22"/>
      <c r="G521" s="1"/>
      <c r="H521" s="1"/>
      <c r="I521" s="1"/>
      <c r="J521" s="1"/>
      <c r="K521" s="1"/>
      <c r="L521" s="1"/>
    </row>
    <row r="522" spans="1:12" ht="15.75" customHeight="1">
      <c r="A522" s="4" t="s">
        <v>1136</v>
      </c>
      <c r="B522" s="1"/>
      <c r="C522" s="4"/>
      <c r="D522" s="1"/>
      <c r="E522" s="3"/>
      <c r="F522" s="22"/>
      <c r="G522" s="1"/>
      <c r="H522" s="1"/>
      <c r="I522" s="1"/>
      <c r="J522" s="1"/>
      <c r="K522" s="1"/>
      <c r="L522" s="1"/>
    </row>
    <row r="523" spans="1:12" ht="15.75" customHeight="1">
      <c r="A523" s="4" t="s">
        <v>1137</v>
      </c>
      <c r="B523" s="1"/>
      <c r="C523" s="4"/>
      <c r="D523" s="1"/>
      <c r="E523" s="3"/>
      <c r="F523" s="22"/>
      <c r="G523" s="1"/>
      <c r="H523" s="1"/>
      <c r="I523" s="1"/>
      <c r="J523" s="1"/>
      <c r="K523" s="1"/>
      <c r="L523" s="1"/>
    </row>
    <row r="524" spans="1:12" ht="6" customHeight="1">
      <c r="A524" s="4"/>
      <c r="B524" s="1"/>
      <c r="C524" s="4"/>
      <c r="D524" s="1"/>
      <c r="E524" s="3"/>
      <c r="F524" s="22"/>
      <c r="G524" s="1"/>
      <c r="H524" s="1"/>
      <c r="I524" s="1"/>
      <c r="J524" s="1"/>
      <c r="K524" s="1"/>
      <c r="L524" s="1"/>
    </row>
    <row r="525" spans="1:12" ht="15.75" customHeight="1">
      <c r="A525" s="4" t="s">
        <v>1138</v>
      </c>
      <c r="C525" s="6">
        <f>+-H513*B514</f>
        <v>-53344.8</v>
      </c>
      <c r="D525" s="69" t="s">
        <v>700</v>
      </c>
      <c r="E525" s="3"/>
      <c r="F525" s="22"/>
      <c r="G525" s="1"/>
      <c r="H525" s="1"/>
      <c r="I525" s="1"/>
      <c r="J525" s="1"/>
      <c r="K525" s="1"/>
      <c r="L525" s="1"/>
    </row>
    <row r="526" spans="1:12" ht="6" customHeight="1">
      <c r="A526" s="5"/>
      <c r="B526" s="1"/>
      <c r="C526" s="4"/>
      <c r="D526" s="1"/>
      <c r="E526" s="3"/>
      <c r="F526" s="22"/>
      <c r="G526" s="1"/>
      <c r="H526" s="1"/>
      <c r="I526" s="1"/>
      <c r="J526" s="1"/>
      <c r="K526" s="1"/>
      <c r="L526" s="1"/>
    </row>
    <row r="527" spans="1:12" ht="15.75" customHeight="1">
      <c r="A527" s="4" t="s">
        <v>1076</v>
      </c>
      <c r="B527" s="1"/>
      <c r="C527" s="4"/>
      <c r="D527" s="1"/>
      <c r="E527" s="3"/>
      <c r="F527" s="22"/>
      <c r="G527" s="1"/>
      <c r="H527" s="1"/>
      <c r="I527" s="1"/>
      <c r="J527" s="1"/>
      <c r="K527" s="1"/>
      <c r="L527" s="1"/>
    </row>
    <row r="528" spans="1:12" ht="15.75" customHeight="1">
      <c r="A528" s="4" t="s">
        <v>1077</v>
      </c>
      <c r="B528" s="1"/>
      <c r="C528" s="4"/>
      <c r="D528" s="1"/>
      <c r="E528" s="3"/>
      <c r="F528" s="22"/>
      <c r="G528" s="1"/>
      <c r="H528" s="1"/>
      <c r="I528" s="1"/>
      <c r="J528" s="1"/>
      <c r="K528" s="1"/>
      <c r="L528" s="1"/>
    </row>
    <row r="529" spans="1:12" ht="6" customHeight="1">
      <c r="A529" s="4"/>
      <c r="B529" s="1"/>
      <c r="C529" s="4"/>
      <c r="D529" s="1"/>
      <c r="E529" s="3"/>
      <c r="F529" s="22"/>
      <c r="G529" s="1"/>
      <c r="H529" s="1"/>
      <c r="I529" s="1"/>
      <c r="J529" s="1"/>
      <c r="K529" s="1"/>
      <c r="L529" s="1"/>
    </row>
    <row r="530" spans="1:12" ht="15.75" customHeight="1">
      <c r="A530" s="1" t="s">
        <v>1951</v>
      </c>
      <c r="B530" s="3">
        <f>+C525/B513</f>
        <v>-5.440016316540894</v>
      </c>
      <c r="C530" s="66" t="s">
        <v>699</v>
      </c>
      <c r="D530" s="1"/>
      <c r="E530" s="3"/>
      <c r="F530" s="22"/>
      <c r="G530" s="1"/>
      <c r="H530" s="1"/>
      <c r="I530" s="1"/>
      <c r="J530" s="1"/>
      <c r="K530" s="1"/>
      <c r="L530" s="1"/>
    </row>
    <row r="531" spans="1:12" ht="6" customHeight="1">
      <c r="A531" s="1"/>
      <c r="B531" s="3"/>
      <c r="C531" s="66"/>
      <c r="D531" s="1"/>
      <c r="E531" s="3"/>
      <c r="F531" s="22"/>
      <c r="G531" s="1"/>
      <c r="H531" s="1"/>
      <c r="I531" s="1"/>
      <c r="J531" s="1"/>
      <c r="K531" s="1"/>
      <c r="L531" s="1"/>
    </row>
    <row r="532" spans="1:12" ht="15.75" customHeight="1">
      <c r="A532" s="338" t="s">
        <v>294</v>
      </c>
      <c r="B532" s="3"/>
      <c r="C532" s="66"/>
      <c r="D532" s="1"/>
      <c r="E532" s="3"/>
      <c r="F532" s="22"/>
      <c r="G532" s="1"/>
      <c r="H532" s="1"/>
      <c r="I532" s="1"/>
      <c r="J532" s="1"/>
      <c r="K532" s="1"/>
      <c r="L532" s="1"/>
    </row>
    <row r="533" spans="1:12" ht="6" customHeight="1">
      <c r="A533" s="4"/>
      <c r="B533" s="1"/>
      <c r="C533" s="4"/>
      <c r="D533" s="1"/>
      <c r="E533" s="3"/>
      <c r="F533" s="22"/>
      <c r="G533" s="1"/>
      <c r="H533" s="1"/>
      <c r="I533" s="1"/>
      <c r="J533" s="1"/>
      <c r="K533" s="1"/>
      <c r="L533" s="1"/>
    </row>
    <row r="534" spans="1:12" ht="15.75" customHeight="1">
      <c r="A534" s="4" t="s">
        <v>1139</v>
      </c>
      <c r="B534" s="1"/>
      <c r="C534" s="4"/>
      <c r="D534" s="1"/>
      <c r="E534" s="3"/>
      <c r="F534" s="22"/>
      <c r="G534" s="1"/>
      <c r="H534" s="1"/>
      <c r="I534" s="1"/>
      <c r="J534" s="1"/>
      <c r="K534" s="1"/>
      <c r="L534" s="1"/>
    </row>
    <row r="535" spans="1:12" ht="15.75" customHeight="1">
      <c r="A535" s="4" t="s">
        <v>1140</v>
      </c>
      <c r="B535" s="1"/>
      <c r="C535" s="4"/>
      <c r="D535" s="1"/>
      <c r="E535" s="3"/>
      <c r="F535" s="22"/>
      <c r="G535" s="1"/>
      <c r="H535" s="1"/>
      <c r="I535" s="1"/>
      <c r="J535" s="1"/>
      <c r="K535" s="1"/>
      <c r="L535" s="1"/>
    </row>
    <row r="536" spans="1:12" ht="15.75" customHeight="1">
      <c r="A536" s="4" t="s">
        <v>1141</v>
      </c>
      <c r="B536" s="1"/>
      <c r="C536" s="4"/>
      <c r="D536" s="1"/>
      <c r="E536" s="3"/>
      <c r="F536" s="22"/>
      <c r="G536" s="1"/>
      <c r="H536" s="1"/>
      <c r="I536" s="1"/>
      <c r="J536" s="1"/>
      <c r="K536" s="1"/>
      <c r="L536" s="1"/>
    </row>
    <row r="537" spans="1:12" ht="6" customHeight="1">
      <c r="A537" s="4"/>
      <c r="B537" s="1"/>
      <c r="C537" s="4"/>
      <c r="D537" s="1"/>
      <c r="E537" s="3"/>
      <c r="F537" s="22"/>
      <c r="G537" s="1"/>
      <c r="H537" s="1"/>
      <c r="I537" s="1"/>
      <c r="J537" s="1"/>
      <c r="K537" s="1"/>
      <c r="L537" s="1"/>
    </row>
    <row r="538" spans="1:12" ht="15.75" customHeight="1">
      <c r="A538" s="4"/>
      <c r="B538" s="5" t="s">
        <v>1655</v>
      </c>
      <c r="C538" s="5"/>
      <c r="D538" s="1"/>
      <c r="E538" s="104"/>
      <c r="F538" s="22"/>
      <c r="G538" s="1"/>
      <c r="H538" s="1"/>
      <c r="I538" s="1"/>
      <c r="J538" s="1"/>
      <c r="K538" s="1"/>
      <c r="L538" s="1"/>
    </row>
    <row r="539" spans="1:12" ht="6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4" t="s">
        <v>1142</v>
      </c>
      <c r="G540" s="1"/>
      <c r="H540" s="1"/>
      <c r="I540" s="1"/>
      <c r="J540" s="1"/>
      <c r="K540" s="1"/>
      <c r="L540" s="1"/>
    </row>
    <row r="541" spans="1:12" ht="15.75" customHeight="1">
      <c r="A541" s="4" t="s">
        <v>1143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6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4" t="s">
        <v>462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6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3" ht="15.75" customHeight="1">
      <c r="A545" s="92" t="s">
        <v>1391</v>
      </c>
      <c r="B545" s="1"/>
      <c r="C545" s="4"/>
      <c r="D545" s="1"/>
      <c r="E545" s="3"/>
      <c r="F545" s="4" t="s">
        <v>1393</v>
      </c>
      <c r="G545" s="4"/>
      <c r="H545" s="337"/>
      <c r="K545" s="1"/>
      <c r="M545" s="1"/>
    </row>
    <row r="546" spans="1:13" ht="6" customHeight="1">
      <c r="A546" s="1"/>
      <c r="B546" s="1"/>
      <c r="C546" s="1"/>
      <c r="D546" s="1"/>
      <c r="E546" s="3"/>
      <c r="F546" s="1"/>
      <c r="K546" s="1"/>
      <c r="M546" s="1"/>
    </row>
    <row r="547" spans="1:13" ht="15.75" customHeight="1">
      <c r="A547" s="4" t="s">
        <v>1392</v>
      </c>
      <c r="B547" s="6">
        <f>+C525</f>
        <v>-53344.8</v>
      </c>
      <c r="C547" s="4" t="s">
        <v>700</v>
      </c>
      <c r="E547" s="3"/>
      <c r="F547" s="4" t="s">
        <v>1394</v>
      </c>
      <c r="H547" s="3">
        <f>+SQRT(2)*H514*E514</f>
        <v>5.939696961967</v>
      </c>
      <c r="I547" s="4" t="s">
        <v>108</v>
      </c>
      <c r="K547" s="1"/>
      <c r="M547" s="1"/>
    </row>
    <row r="548" spans="1:13" ht="6" customHeight="1">
      <c r="A548" s="4"/>
      <c r="B548" s="1"/>
      <c r="C548" s="1"/>
      <c r="D548" s="1"/>
      <c r="E548" s="3"/>
      <c r="F548" s="1"/>
      <c r="G548" s="1"/>
      <c r="H548" s="1"/>
      <c r="I548" s="1"/>
      <c r="J548" s="1"/>
      <c r="K548" s="1"/>
      <c r="M548" s="1"/>
    </row>
    <row r="549" spans="4:13" ht="15.75" customHeight="1">
      <c r="D549" s="1"/>
      <c r="E549" s="3"/>
      <c r="F549" s="4" t="s">
        <v>1395</v>
      </c>
      <c r="G549" s="1"/>
      <c r="H549" s="1"/>
      <c r="I549" s="1"/>
      <c r="J549" s="1"/>
      <c r="M549" s="1"/>
    </row>
    <row r="550" spans="1:13" ht="6" customHeight="1">
      <c r="A550" s="1"/>
      <c r="B550" s="4"/>
      <c r="C550" s="1"/>
      <c r="D550" s="1"/>
      <c r="E550" s="3"/>
      <c r="F550" s="75"/>
      <c r="G550" s="1"/>
      <c r="H550" s="1"/>
      <c r="I550" s="1"/>
      <c r="J550" s="1"/>
      <c r="M550" s="1"/>
    </row>
    <row r="551" spans="4:13" ht="15.75" customHeight="1">
      <c r="D551" s="1"/>
      <c r="E551" s="3"/>
      <c r="F551" s="4" t="s">
        <v>1396</v>
      </c>
      <c r="G551" s="1"/>
      <c r="H551" s="6">
        <f>+B547*H547</f>
        <v>-316851.94649673725</v>
      </c>
      <c r="I551" s="22" t="s">
        <v>704</v>
      </c>
      <c r="J551" s="1"/>
      <c r="M551" s="1"/>
    </row>
    <row r="552" spans="1:13" ht="6" customHeight="1">
      <c r="A552" s="4"/>
      <c r="B552" s="1"/>
      <c r="C552" s="3"/>
      <c r="D552" s="4"/>
      <c r="E552" s="1"/>
      <c r="F552" s="1"/>
      <c r="G552" s="1"/>
      <c r="H552" s="22"/>
      <c r="I552" s="1"/>
      <c r="J552" s="1"/>
      <c r="M552" s="1"/>
    </row>
    <row r="553" spans="1:13" ht="15.75" customHeight="1">
      <c r="A553" s="5"/>
      <c r="B553" s="1"/>
      <c r="C553" s="3"/>
      <c r="D553" s="4"/>
      <c r="E553" s="1"/>
      <c r="F553" s="4" t="s">
        <v>1397</v>
      </c>
      <c r="H553" s="1"/>
      <c r="I553" s="22"/>
      <c r="J553" s="1"/>
      <c r="K553" s="1"/>
      <c r="M553" s="1"/>
    </row>
    <row r="554" spans="1:13" ht="15.75" customHeight="1">
      <c r="A554" s="4"/>
      <c r="B554" s="1"/>
      <c r="C554" s="3"/>
      <c r="D554" s="4"/>
      <c r="E554" s="1"/>
      <c r="F554" s="4" t="s">
        <v>1144</v>
      </c>
      <c r="H554" s="1"/>
      <c r="I554" s="22"/>
      <c r="J554" s="1"/>
      <c r="K554" s="1"/>
      <c r="M554" s="1"/>
    </row>
    <row r="555" spans="1:13" ht="15.75" customHeight="1">
      <c r="A555" s="4"/>
      <c r="B555" s="1"/>
      <c r="C555" s="3"/>
      <c r="D555" s="4"/>
      <c r="E555" s="1"/>
      <c r="F555" s="4" t="s">
        <v>622</v>
      </c>
      <c r="H555" s="1"/>
      <c r="I555" s="22"/>
      <c r="J555" s="1"/>
      <c r="K555" s="1"/>
      <c r="M555" s="1"/>
    </row>
    <row r="556" spans="1:13" ht="6" customHeight="1">
      <c r="A556" s="4"/>
      <c r="B556" s="1"/>
      <c r="C556" s="3"/>
      <c r="D556" s="4"/>
      <c r="E556" s="1"/>
      <c r="F556" s="1"/>
      <c r="G556" s="4"/>
      <c r="H556" s="1"/>
      <c r="I556" s="22"/>
      <c r="J556" s="1"/>
      <c r="K556" s="1"/>
      <c r="M556" s="1"/>
    </row>
    <row r="557" spans="1:11" ht="15.75" customHeight="1">
      <c r="A557" s="9" t="s">
        <v>463</v>
      </c>
      <c r="B557" s="74"/>
      <c r="C557" s="11">
        <f>+ABS(H551)*SQRT(2)/2</f>
        <v>224048.16000000006</v>
      </c>
      <c r="D557" s="23" t="s">
        <v>704</v>
      </c>
      <c r="E557" s="14" t="s">
        <v>464</v>
      </c>
      <c r="F557" s="74"/>
      <c r="G557" s="74"/>
      <c r="H557" s="11">
        <f>+ABS(H551)*SQRT(2)/2</f>
        <v>224048.16000000006</v>
      </c>
      <c r="I557" s="23" t="s">
        <v>704</v>
      </c>
      <c r="J557" s="1"/>
      <c r="K557" s="1"/>
    </row>
    <row r="558" spans="1:12" ht="6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9" t="s">
        <v>465</v>
      </c>
      <c r="B559" s="10"/>
      <c r="C559" s="10"/>
      <c r="D559" s="11">
        <f>+SQRT(C557^2+H557^2)</f>
        <v>316851.94649673725</v>
      </c>
      <c r="E559" s="10" t="s">
        <v>704</v>
      </c>
      <c r="I559" s="1"/>
      <c r="J559" s="1"/>
      <c r="K559" s="1"/>
      <c r="L559" s="1"/>
    </row>
    <row r="560" spans="1:12" ht="6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338" t="s">
        <v>295</v>
      </c>
      <c r="B561" s="3"/>
      <c r="C561" s="66"/>
      <c r="D561" s="1"/>
      <c r="E561" s="3"/>
      <c r="F561" s="22"/>
      <c r="G561" s="1"/>
      <c r="H561" s="1"/>
      <c r="I561" s="1"/>
      <c r="J561" s="1"/>
      <c r="K561" s="1"/>
      <c r="L561" s="1"/>
    </row>
    <row r="562" spans="1:12" ht="6" customHeight="1">
      <c r="A562" s="4"/>
      <c r="B562" s="1"/>
      <c r="C562" s="4"/>
      <c r="D562" s="1"/>
      <c r="E562" s="3"/>
      <c r="F562" s="22"/>
      <c r="G562" s="1"/>
      <c r="H562" s="1"/>
      <c r="I562" s="1"/>
      <c r="J562" s="1"/>
      <c r="K562" s="1"/>
      <c r="L562" s="1"/>
    </row>
    <row r="563" spans="1:12" ht="15.75" customHeight="1">
      <c r="A563" s="4" t="s">
        <v>249</v>
      </c>
      <c r="B563" s="1"/>
      <c r="C563" s="4"/>
      <c r="D563" s="1"/>
      <c r="E563" s="3"/>
      <c r="F563" s="22"/>
      <c r="G563" s="1"/>
      <c r="H563" s="1"/>
      <c r="I563" s="1"/>
      <c r="J563" s="1"/>
      <c r="K563" s="1"/>
      <c r="L563" s="1"/>
    </row>
    <row r="564" spans="1:12" ht="15.75" customHeight="1">
      <c r="A564" s="4" t="s">
        <v>250</v>
      </c>
      <c r="B564" s="1"/>
      <c r="C564" s="4"/>
      <c r="D564" s="1"/>
      <c r="E564" s="3"/>
      <c r="F564" s="22"/>
      <c r="G564" s="1"/>
      <c r="H564" s="1"/>
      <c r="I564" s="1"/>
      <c r="J564" s="1"/>
      <c r="K564" s="1"/>
      <c r="L564" s="1"/>
    </row>
    <row r="565" spans="1:12" ht="15.75" customHeight="1">
      <c r="A565" s="4" t="s">
        <v>1074</v>
      </c>
      <c r="B565" s="1"/>
      <c r="C565" s="4"/>
      <c r="D565" s="1"/>
      <c r="E565" s="3"/>
      <c r="F565" s="22"/>
      <c r="G565" s="1"/>
      <c r="H565" s="1"/>
      <c r="I565" s="1"/>
      <c r="J565" s="1"/>
      <c r="K565" s="1"/>
      <c r="L565" s="1"/>
    </row>
    <row r="566" spans="1:12" ht="15.75" customHeight="1">
      <c r="A566" s="4" t="s">
        <v>1075</v>
      </c>
      <c r="B566" s="1"/>
      <c r="C566" s="4"/>
      <c r="D566" s="1"/>
      <c r="E566" s="3"/>
      <c r="F566" s="22"/>
      <c r="G566" s="1"/>
      <c r="H566" s="1"/>
      <c r="I566" s="1"/>
      <c r="J566" s="1"/>
      <c r="K566" s="1"/>
      <c r="L566" s="1"/>
    </row>
    <row r="567" spans="1:12" ht="6" customHeight="1">
      <c r="A567" s="4"/>
      <c r="B567" s="1"/>
      <c r="C567" s="4"/>
      <c r="D567" s="1"/>
      <c r="E567" s="3"/>
      <c r="F567" s="22"/>
      <c r="G567" s="1"/>
      <c r="H567" s="1"/>
      <c r="I567" s="1"/>
      <c r="J567" s="1"/>
      <c r="K567" s="1"/>
      <c r="L567" s="1"/>
    </row>
    <row r="568" spans="1:12" ht="15.75" customHeight="1">
      <c r="A568" s="4"/>
      <c r="B568" s="5" t="s">
        <v>1656</v>
      </c>
      <c r="C568" s="5"/>
      <c r="D568" s="1"/>
      <c r="F568" s="22"/>
      <c r="G568" s="1"/>
      <c r="H568" s="1"/>
      <c r="I568" s="1"/>
      <c r="J568" s="1"/>
      <c r="K568" s="1"/>
      <c r="L568" s="1"/>
    </row>
    <row r="569" spans="1:12" ht="6" customHeight="1">
      <c r="A569" s="4"/>
      <c r="B569" s="5"/>
      <c r="C569" s="5"/>
      <c r="D569" s="1"/>
      <c r="E569" s="104"/>
      <c r="F569" s="22"/>
      <c r="G569" s="1"/>
      <c r="H569" s="1"/>
      <c r="I569" s="1"/>
      <c r="J569" s="1"/>
      <c r="K569" s="1"/>
      <c r="L569" s="1"/>
    </row>
    <row r="570" spans="1:12" ht="15.75" customHeight="1">
      <c r="A570" s="4" t="s">
        <v>251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4" t="s">
        <v>252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6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4"/>
      <c r="B573" s="5" t="s">
        <v>466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6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4" t="s">
        <v>467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4" t="s">
        <v>468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6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3" ht="15.75" customHeight="1">
      <c r="A578" s="4" t="s">
        <v>469</v>
      </c>
      <c r="B578" s="1"/>
      <c r="D578" s="3">
        <f>+((1/4)*PI()*H514^2-(1/2)*(H514^2))*E514</f>
        <v>2.5172118011654936</v>
      </c>
      <c r="E578" s="4" t="s">
        <v>109</v>
      </c>
      <c r="F578" s="1"/>
      <c r="G578" s="1" t="s">
        <v>470</v>
      </c>
      <c r="H578" s="1"/>
      <c r="I578" s="6">
        <f>+D578*B513</f>
        <v>24683.77892222883</v>
      </c>
      <c r="J578" s="22" t="s">
        <v>704</v>
      </c>
      <c r="K578" s="1"/>
      <c r="L578" s="1"/>
      <c r="M578" s="1"/>
    </row>
    <row r="579" spans="1:13" ht="6" customHeight="1">
      <c r="A579" s="4"/>
      <c r="B579" s="1"/>
      <c r="C579" s="3"/>
      <c r="D579" s="4"/>
      <c r="E579" s="1"/>
      <c r="F579" s="1"/>
      <c r="G579" s="1"/>
      <c r="H579" s="1"/>
      <c r="I579" s="1"/>
      <c r="J579" s="22"/>
      <c r="K579" s="1"/>
      <c r="L579" s="1"/>
      <c r="M579" s="1"/>
    </row>
    <row r="580" spans="1:13" ht="15.75" customHeight="1">
      <c r="A580" s="4" t="s">
        <v>2422</v>
      </c>
      <c r="B580" s="1"/>
      <c r="C580" s="3"/>
      <c r="D580" s="4"/>
      <c r="E580" s="1"/>
      <c r="F580" s="1"/>
      <c r="G580" s="1"/>
      <c r="H580" s="1"/>
      <c r="I580" s="1"/>
      <c r="J580" s="22"/>
      <c r="K580" s="1"/>
      <c r="L580" s="1"/>
      <c r="M580" s="1"/>
    </row>
    <row r="581" spans="1:12" ht="6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3" ht="15.75" customHeight="1">
      <c r="A582" s="92" t="s">
        <v>2129</v>
      </c>
      <c r="B582" s="1"/>
      <c r="C582" s="1"/>
      <c r="D582" s="1"/>
      <c r="E582" s="3"/>
      <c r="F582" s="4"/>
      <c r="G582" s="92" t="s">
        <v>632</v>
      </c>
      <c r="H582" s="1"/>
      <c r="I582" s="4"/>
      <c r="J582" s="1"/>
      <c r="K582" s="1"/>
      <c r="M582" s="1"/>
    </row>
    <row r="583" spans="1:13" ht="6" customHeight="1">
      <c r="A583" s="92"/>
      <c r="B583" s="1"/>
      <c r="C583" s="1"/>
      <c r="D583" s="1"/>
      <c r="E583" s="3"/>
      <c r="F583" s="4"/>
      <c r="G583" s="1"/>
      <c r="H583" s="1"/>
      <c r="I583" s="1"/>
      <c r="J583" s="1"/>
      <c r="K583" s="1"/>
      <c r="M583" s="1"/>
    </row>
    <row r="584" spans="1:13" ht="15.75" customHeight="1">
      <c r="A584" s="4" t="s">
        <v>471</v>
      </c>
      <c r="B584" s="1"/>
      <c r="C584" s="3">
        <f>+-(ABS(B530)-E513-H514/2)</f>
        <v>-3.390016316540894</v>
      </c>
      <c r="D584" s="4" t="s">
        <v>699</v>
      </c>
      <c r="E584" s="3"/>
      <c r="F584" s="4"/>
      <c r="G584" s="4" t="s">
        <v>2425</v>
      </c>
      <c r="H584" s="1"/>
      <c r="I584" s="6">
        <f>+B513*C584</f>
        <v>-33242.50000000001</v>
      </c>
      <c r="J584" s="4" t="s">
        <v>700</v>
      </c>
      <c r="K584" s="1"/>
      <c r="M584" s="1"/>
    </row>
    <row r="585" spans="1:13" ht="6" customHeight="1">
      <c r="A585" s="4"/>
      <c r="B585" s="1"/>
      <c r="C585" s="1"/>
      <c r="D585" s="1"/>
      <c r="E585" s="3"/>
      <c r="F585" s="4"/>
      <c r="G585" s="1"/>
      <c r="H585" s="1"/>
      <c r="I585" s="1"/>
      <c r="J585" s="1"/>
      <c r="K585" s="1"/>
      <c r="M585" s="1"/>
    </row>
    <row r="586" spans="1:13" ht="15.75" customHeight="1">
      <c r="A586" s="4" t="s">
        <v>660</v>
      </c>
      <c r="B586" s="4"/>
      <c r="C586" s="337"/>
      <c r="D586" s="1"/>
      <c r="E586" s="3"/>
      <c r="F586" s="4"/>
      <c r="G586" s="4" t="s">
        <v>661</v>
      </c>
      <c r="H586" s="1"/>
      <c r="I586" s="1"/>
      <c r="J586" s="1"/>
      <c r="K586" s="1"/>
      <c r="M586" s="1"/>
    </row>
    <row r="587" spans="1:13" ht="6" customHeight="1">
      <c r="A587" s="1"/>
      <c r="B587" s="4"/>
      <c r="C587" s="1"/>
      <c r="D587" s="1"/>
      <c r="E587" s="3"/>
      <c r="F587" s="4"/>
      <c r="G587" s="75"/>
      <c r="H587" s="1"/>
      <c r="I587" s="1"/>
      <c r="J587" s="4"/>
      <c r="K587" s="1"/>
      <c r="M587" s="1"/>
    </row>
    <row r="588" spans="1:13" ht="15.75" customHeight="1">
      <c r="A588" s="4" t="s">
        <v>659</v>
      </c>
      <c r="C588" s="3">
        <f>+SQRT(2)*H514*E514</f>
        <v>5.939696961967</v>
      </c>
      <c r="D588" s="4" t="s">
        <v>108</v>
      </c>
      <c r="E588" s="3"/>
      <c r="F588" s="4"/>
      <c r="G588" s="4" t="s">
        <v>662</v>
      </c>
      <c r="H588" s="1"/>
      <c r="I588" s="6">
        <f>+I584*C588</f>
        <v>-197450.37625818804</v>
      </c>
      <c r="J588" s="22" t="s">
        <v>704</v>
      </c>
      <c r="K588" s="1"/>
      <c r="M588" s="1"/>
    </row>
    <row r="589" spans="1:13" ht="6" customHeight="1">
      <c r="A589" s="4"/>
      <c r="B589" s="1"/>
      <c r="C589" s="3"/>
      <c r="D589" s="4"/>
      <c r="E589" s="1"/>
      <c r="F589" s="1"/>
      <c r="G589" s="1"/>
      <c r="H589" s="1"/>
      <c r="I589" s="22"/>
      <c r="J589" s="1"/>
      <c r="K589" s="1"/>
      <c r="M589" s="1"/>
    </row>
    <row r="590" spans="1:13" ht="15.75" customHeight="1">
      <c r="A590" s="5" t="s">
        <v>237</v>
      </c>
      <c r="B590" s="1"/>
      <c r="C590" s="3"/>
      <c r="D590" s="4"/>
      <c r="E590" s="1"/>
      <c r="F590" s="1"/>
      <c r="G590" s="4" t="s">
        <v>253</v>
      </c>
      <c r="H590" s="1"/>
      <c r="I590" s="22"/>
      <c r="J590" s="1"/>
      <c r="K590" s="1"/>
      <c r="M590" s="1"/>
    </row>
    <row r="591" spans="1:13" ht="15.75" customHeight="1">
      <c r="A591" s="4"/>
      <c r="B591" s="1"/>
      <c r="C591" s="3"/>
      <c r="D591" s="4"/>
      <c r="E591" s="1"/>
      <c r="F591" s="1"/>
      <c r="G591" s="4" t="s">
        <v>254</v>
      </c>
      <c r="H591" s="1"/>
      <c r="I591" s="22"/>
      <c r="J591" s="1"/>
      <c r="K591" s="1"/>
      <c r="M591" s="1"/>
    </row>
    <row r="592" spans="1:13" ht="15.75" customHeight="1">
      <c r="A592" s="4"/>
      <c r="B592" s="1"/>
      <c r="C592" s="3"/>
      <c r="D592" s="4"/>
      <c r="E592" s="1"/>
      <c r="F592" s="1"/>
      <c r="G592" s="4" t="s">
        <v>255</v>
      </c>
      <c r="H592" s="1"/>
      <c r="I592" s="22"/>
      <c r="J592" s="1"/>
      <c r="K592" s="1"/>
      <c r="M592" s="1"/>
    </row>
    <row r="593" spans="1:13" ht="15.75" customHeight="1">
      <c r="A593" s="4"/>
      <c r="B593" s="1"/>
      <c r="C593" s="3"/>
      <c r="D593" s="4"/>
      <c r="E593" s="1"/>
      <c r="F593" s="1"/>
      <c r="G593" s="4" t="s">
        <v>256</v>
      </c>
      <c r="H593" s="1"/>
      <c r="I593" s="22"/>
      <c r="J593" s="1"/>
      <c r="K593" s="1"/>
      <c r="M593" s="1"/>
    </row>
    <row r="594" spans="1:13" ht="15.75" customHeight="1">
      <c r="A594" s="4"/>
      <c r="B594" s="1"/>
      <c r="C594" s="3"/>
      <c r="D594" s="4"/>
      <c r="E594" s="1"/>
      <c r="F594" s="1"/>
      <c r="G594" s="21" t="s">
        <v>257</v>
      </c>
      <c r="H594" s="1"/>
      <c r="I594" s="22"/>
      <c r="J594" s="1"/>
      <c r="K594" s="1"/>
      <c r="M594" s="1"/>
    </row>
    <row r="595" spans="1:12" ht="6" customHeight="1">
      <c r="A595" s="4"/>
      <c r="B595" s="1"/>
      <c r="C595" s="1"/>
      <c r="D595" s="1"/>
      <c r="E595" s="1"/>
      <c r="F595" s="1"/>
      <c r="G595" s="4"/>
      <c r="H595" s="1"/>
      <c r="I595" s="1"/>
      <c r="J595" s="1"/>
      <c r="K595" s="1"/>
      <c r="L595" s="1"/>
    </row>
    <row r="596" spans="1:12" ht="15.75" customHeight="1">
      <c r="A596" s="9" t="s">
        <v>663</v>
      </c>
      <c r="B596" s="74"/>
      <c r="C596" s="11">
        <f>+ABS(I588)*SQRT(2)/2</f>
        <v>139618.50000000006</v>
      </c>
      <c r="D596" s="23" t="s">
        <v>704</v>
      </c>
      <c r="E596" s="1"/>
      <c r="F596" s="9" t="s">
        <v>665</v>
      </c>
      <c r="G596" s="74"/>
      <c r="H596" s="10"/>
      <c r="I596" s="11">
        <f>+ABS(I588)*SQRT(2)/2-I578</f>
        <v>114934.72107777123</v>
      </c>
      <c r="J596" s="23" t="s">
        <v>704</v>
      </c>
      <c r="K596" s="1"/>
      <c r="L596" s="1"/>
    </row>
    <row r="597" spans="1:12" ht="15.75" customHeight="1">
      <c r="A597" s="4"/>
      <c r="B597" s="1"/>
      <c r="C597" s="1"/>
      <c r="D597" s="1"/>
      <c r="E597" s="1"/>
      <c r="F597" s="4" t="s">
        <v>258</v>
      </c>
      <c r="G597" s="1"/>
      <c r="H597" s="1"/>
      <c r="I597" s="1"/>
      <c r="J597" s="1"/>
      <c r="K597" s="1"/>
      <c r="L597" s="1"/>
    </row>
    <row r="598" spans="1:12" ht="15.75" customHeight="1">
      <c r="A598" s="4"/>
      <c r="B598" s="1"/>
      <c r="C598" s="1"/>
      <c r="D598" s="1"/>
      <c r="E598" s="1"/>
      <c r="F598" s="4" t="s">
        <v>259</v>
      </c>
      <c r="G598" s="1"/>
      <c r="H598" s="1"/>
      <c r="I598" s="1"/>
      <c r="J598" s="1"/>
      <c r="K598" s="1"/>
      <c r="L598" s="1"/>
    </row>
    <row r="599" spans="1:12" ht="6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9" t="s">
        <v>664</v>
      </c>
      <c r="B600" s="10"/>
      <c r="C600" s="10"/>
      <c r="D600" s="11">
        <f>+SQRT(C596^2+I596^2)</f>
        <v>180840.58076514542</v>
      </c>
      <c r="E600" s="10" t="s">
        <v>704</v>
      </c>
      <c r="F600" s="4"/>
      <c r="G600" s="2"/>
      <c r="H600" s="6"/>
      <c r="I600" s="22"/>
      <c r="J600" s="1"/>
      <c r="K600" s="1"/>
      <c r="L600" s="1"/>
    </row>
    <row r="601" spans="1:12" ht="6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4" t="s">
        <v>1041</v>
      </c>
      <c r="B602" s="13"/>
      <c r="C602" s="25"/>
      <c r="D602" s="12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4" t="s">
        <v>1042</v>
      </c>
      <c r="B603" s="12"/>
      <c r="C603" s="12"/>
      <c r="D603" s="12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20" t="s">
        <v>1043</v>
      </c>
      <c r="D604" s="12"/>
      <c r="E604" s="12"/>
      <c r="F604" s="12"/>
      <c r="G604" s="13"/>
      <c r="I604" s="1"/>
      <c r="J604" s="1"/>
      <c r="K604" s="1"/>
      <c r="L604" s="1"/>
    </row>
    <row r="605" spans="1:12" ht="6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5" t="s">
        <v>1046</v>
      </c>
      <c r="F606" s="1"/>
      <c r="G606" s="1"/>
      <c r="H606" s="1"/>
      <c r="I606" s="1"/>
      <c r="J606" s="1"/>
      <c r="K606" s="1"/>
      <c r="L606" s="1"/>
    </row>
    <row r="607" spans="1:12" ht="6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4" t="s">
        <v>1044</v>
      </c>
      <c r="B608" s="1"/>
      <c r="C608" s="1"/>
      <c r="D608" s="1"/>
      <c r="F608" s="22"/>
      <c r="G608" s="1"/>
      <c r="H608" s="1"/>
      <c r="I608" s="1"/>
      <c r="J608" s="1"/>
      <c r="K608" s="1"/>
      <c r="L608" s="1"/>
    </row>
    <row r="609" spans="1:12" ht="15.75" customHeight="1">
      <c r="A609" s="4" t="s">
        <v>1045</v>
      </c>
      <c r="B609" s="1"/>
      <c r="C609" s="1"/>
      <c r="D609" s="1"/>
      <c r="F609" s="22"/>
      <c r="G609" s="1"/>
      <c r="H609" s="1"/>
      <c r="I609" s="1"/>
      <c r="J609" s="1"/>
      <c r="K609" s="1"/>
      <c r="L609" s="1"/>
    </row>
    <row r="610" spans="1:9" ht="6" customHeight="1">
      <c r="A610" s="4"/>
      <c r="B610" s="1"/>
      <c r="C610" s="1"/>
      <c r="D610" s="1"/>
      <c r="F610" s="4"/>
      <c r="G610" s="1"/>
      <c r="I610" s="4"/>
    </row>
    <row r="611" spans="1:12" ht="15.75" customHeight="1">
      <c r="A611" s="4"/>
      <c r="B611" s="5" t="s">
        <v>276</v>
      </c>
      <c r="C611" s="1"/>
      <c r="D611" s="1"/>
      <c r="E611" s="6"/>
      <c r="F611" s="22"/>
      <c r="G611" s="1"/>
      <c r="H611" s="1"/>
      <c r="I611" s="1"/>
      <c r="J611" s="1"/>
      <c r="K611" s="1"/>
      <c r="L611" s="1"/>
    </row>
    <row r="612" spans="1:12" ht="6" customHeight="1">
      <c r="A612" s="4"/>
      <c r="B612" s="5"/>
      <c r="C612" s="1"/>
      <c r="D612" s="1"/>
      <c r="E612" s="6"/>
      <c r="F612" s="22"/>
      <c r="G612" s="1"/>
      <c r="H612" s="1"/>
      <c r="I612" s="1"/>
      <c r="J612" s="1"/>
      <c r="K612" s="1"/>
      <c r="L612" s="1"/>
    </row>
    <row r="613" spans="1:12" ht="15.75" customHeight="1">
      <c r="A613" s="4" t="s">
        <v>1047</v>
      </c>
      <c r="B613" s="1"/>
      <c r="C613" s="1"/>
      <c r="D613" s="1"/>
      <c r="E613" s="6"/>
      <c r="F613" s="22"/>
      <c r="G613" s="1"/>
      <c r="H613" s="1"/>
      <c r="I613" s="1"/>
      <c r="J613" s="1"/>
      <c r="K613" s="1"/>
      <c r="L613" s="1"/>
    </row>
    <row r="614" spans="1:12" ht="15.75" customHeight="1">
      <c r="A614" s="4" t="s">
        <v>1048</v>
      </c>
      <c r="B614" s="1"/>
      <c r="C614" s="1"/>
      <c r="D614" s="1"/>
      <c r="E614" s="6"/>
      <c r="F614" s="22"/>
      <c r="G614" s="1"/>
      <c r="H614" s="1"/>
      <c r="I614" s="1"/>
      <c r="J614" s="1"/>
      <c r="K614" s="1"/>
      <c r="L614" s="1"/>
    </row>
    <row r="615" spans="2:12" ht="6" customHeight="1">
      <c r="B615" s="5"/>
      <c r="C615" s="1"/>
      <c r="D615" s="1"/>
      <c r="E615" s="6"/>
      <c r="F615" s="22"/>
      <c r="G615" s="1"/>
      <c r="H615" s="1"/>
      <c r="I615" s="1"/>
      <c r="J615" s="1"/>
      <c r="K615" s="1"/>
      <c r="L615" s="1"/>
    </row>
    <row r="616" spans="1:12" ht="15.75" customHeight="1">
      <c r="A616" s="4" t="s">
        <v>277</v>
      </c>
      <c r="B616" s="1"/>
      <c r="C616" s="3">
        <f>+(1/4)*PI()*(H514^2)*E514</f>
        <v>6.927211801165494</v>
      </c>
      <c r="D616" s="4" t="s">
        <v>109</v>
      </c>
      <c r="F616" s="1"/>
      <c r="G616" s="1" t="s">
        <v>278</v>
      </c>
      <c r="H616" s="1"/>
      <c r="I616" s="6">
        <f>+C616*B513</f>
        <v>67928.23892222883</v>
      </c>
      <c r="J616" s="22" t="s">
        <v>704</v>
      </c>
      <c r="K616" s="1"/>
      <c r="L616" s="1"/>
    </row>
    <row r="617" spans="1:12" ht="6" customHeight="1">
      <c r="A617" s="4"/>
      <c r="B617" s="1"/>
      <c r="C617" s="3"/>
      <c r="D617" s="4"/>
      <c r="E617" s="1"/>
      <c r="F617" s="1"/>
      <c r="G617" s="1"/>
      <c r="H617" s="1"/>
      <c r="I617" s="1"/>
      <c r="J617" s="22"/>
      <c r="K617" s="1"/>
      <c r="L617" s="1"/>
    </row>
    <row r="618" spans="1:12" ht="15.75" customHeight="1">
      <c r="A618" s="4" t="s">
        <v>279</v>
      </c>
      <c r="B618" s="1"/>
      <c r="C618" s="3"/>
      <c r="D618" s="4"/>
      <c r="E618" s="1"/>
      <c r="F618" s="1"/>
      <c r="G618" s="1"/>
      <c r="H618" s="1"/>
      <c r="I618" s="1"/>
      <c r="J618" s="22"/>
      <c r="K618" s="1"/>
      <c r="L618" s="1"/>
    </row>
    <row r="619" spans="1:12" ht="6" customHeight="1">
      <c r="A619" s="4"/>
      <c r="B619" s="5"/>
      <c r="C619" s="1"/>
      <c r="D619" s="1"/>
      <c r="E619" s="6"/>
      <c r="F619" s="22"/>
      <c r="G619" s="1"/>
      <c r="H619" s="1"/>
      <c r="I619" s="1"/>
      <c r="J619" s="1"/>
      <c r="K619" s="1"/>
      <c r="L619" s="1"/>
    </row>
    <row r="620" spans="1:11" ht="15.75" customHeight="1">
      <c r="A620" s="92" t="s">
        <v>1114</v>
      </c>
      <c r="B620" s="1"/>
      <c r="C620" s="1"/>
      <c r="D620" s="1"/>
      <c r="E620" s="3"/>
      <c r="F620" s="4"/>
      <c r="G620" s="92" t="s">
        <v>1115</v>
      </c>
      <c r="H620" s="1"/>
      <c r="I620" s="4"/>
      <c r="J620" s="1"/>
      <c r="K620" s="1"/>
    </row>
    <row r="621" spans="1:11" ht="6" customHeight="1">
      <c r="A621" s="92"/>
      <c r="B621" s="1"/>
      <c r="C621" s="1"/>
      <c r="D621" s="1"/>
      <c r="E621" s="3"/>
      <c r="F621" s="4"/>
      <c r="G621" s="1"/>
      <c r="H621" s="1"/>
      <c r="I621" s="1"/>
      <c r="J621" s="1"/>
      <c r="K621" s="1"/>
    </row>
    <row r="622" spans="1:11" ht="15.75" customHeight="1">
      <c r="A622" s="4" t="s">
        <v>280</v>
      </c>
      <c r="B622" s="1"/>
      <c r="C622" s="3">
        <f>-(ABS(B530)-E513-H514/2)</f>
        <v>-3.390016316540894</v>
      </c>
      <c r="D622" s="4" t="s">
        <v>699</v>
      </c>
      <c r="E622" s="3"/>
      <c r="F622" s="4"/>
      <c r="G622" s="4" t="s">
        <v>2443</v>
      </c>
      <c r="H622" s="1"/>
      <c r="I622" s="6">
        <f>+B513*C622</f>
        <v>-33242.50000000001</v>
      </c>
      <c r="J622" s="4" t="s">
        <v>700</v>
      </c>
      <c r="K622" s="1"/>
    </row>
    <row r="623" spans="1:11" ht="6" customHeight="1">
      <c r="A623" s="4"/>
      <c r="B623" s="1"/>
      <c r="C623" s="1"/>
      <c r="D623" s="1"/>
      <c r="E623" s="3"/>
      <c r="F623" s="4"/>
      <c r="G623" s="1"/>
      <c r="H623" s="1"/>
      <c r="I623" s="1"/>
      <c r="J623" s="1"/>
      <c r="K623" s="1"/>
    </row>
    <row r="624" spans="1:11" ht="15.75" customHeight="1">
      <c r="A624" s="4" t="s">
        <v>281</v>
      </c>
      <c r="B624" s="4"/>
      <c r="C624" s="337"/>
      <c r="D624" s="1"/>
      <c r="E624" s="3"/>
      <c r="F624" s="4"/>
      <c r="G624" s="4" t="s">
        <v>282</v>
      </c>
      <c r="H624" s="1"/>
      <c r="I624" s="1"/>
      <c r="J624" s="1"/>
      <c r="K624" s="1"/>
    </row>
    <row r="625" spans="1:11" ht="6" customHeight="1">
      <c r="A625" s="1"/>
      <c r="B625" s="4"/>
      <c r="C625" s="1"/>
      <c r="D625" s="1"/>
      <c r="E625" s="3"/>
      <c r="F625" s="4"/>
      <c r="G625" s="75"/>
      <c r="H625" s="1"/>
      <c r="I625" s="1"/>
      <c r="J625" s="4"/>
      <c r="K625" s="1"/>
    </row>
    <row r="626" spans="1:11" ht="15.75" customHeight="1">
      <c r="A626" s="4" t="s">
        <v>288</v>
      </c>
      <c r="C626" s="3">
        <f>+H514*E514</f>
        <v>4.2</v>
      </c>
      <c r="D626" s="4" t="s">
        <v>108</v>
      </c>
      <c r="E626" s="3"/>
      <c r="F626" s="4"/>
      <c r="G626" s="4" t="s">
        <v>283</v>
      </c>
      <c r="H626" s="1"/>
      <c r="I626" s="6">
        <f>+I622*C626</f>
        <v>-139618.50000000003</v>
      </c>
      <c r="J626" s="22" t="s">
        <v>704</v>
      </c>
      <c r="K626" s="1"/>
    </row>
    <row r="627" spans="1:12" ht="6" customHeight="1">
      <c r="A627" s="1"/>
      <c r="B627" s="3"/>
      <c r="C627" s="4"/>
      <c r="E627" s="3"/>
      <c r="F627" s="4"/>
      <c r="H627" s="1"/>
      <c r="I627" s="1"/>
      <c r="J627" s="1"/>
      <c r="K627" s="1"/>
      <c r="L627" s="1"/>
    </row>
    <row r="628" spans="1:12" ht="15.75" customHeight="1">
      <c r="A628" s="5" t="s">
        <v>237</v>
      </c>
      <c r="B628" s="3"/>
      <c r="C628" s="4"/>
      <c r="E628" s="3"/>
      <c r="F628" s="4"/>
      <c r="G628" s="4" t="s">
        <v>1050</v>
      </c>
      <c r="H628" s="1"/>
      <c r="I628" s="1"/>
      <c r="J628" s="1"/>
      <c r="K628" s="1"/>
      <c r="L628" s="1"/>
    </row>
    <row r="629" spans="1:12" ht="15.75" customHeight="1">
      <c r="A629" s="1"/>
      <c r="B629" s="3"/>
      <c r="C629" s="4"/>
      <c r="E629" s="3"/>
      <c r="F629" s="4"/>
      <c r="G629" s="4" t="s">
        <v>1051</v>
      </c>
      <c r="H629" s="1"/>
      <c r="I629" s="1"/>
      <c r="J629" s="1"/>
      <c r="K629" s="1"/>
      <c r="L629" s="1"/>
    </row>
    <row r="630" spans="1:11" ht="15.75" customHeight="1">
      <c r="A630" s="1"/>
      <c r="B630" s="3"/>
      <c r="C630" s="4"/>
      <c r="E630" s="3"/>
      <c r="F630" s="4"/>
      <c r="G630" s="4" t="s">
        <v>1052</v>
      </c>
      <c r="H630" s="1"/>
      <c r="I630" s="6"/>
      <c r="J630" s="22"/>
      <c r="K630" s="1"/>
    </row>
    <row r="631" spans="1:11" ht="6" customHeight="1">
      <c r="A631" s="1"/>
      <c r="B631" s="3"/>
      <c r="C631" s="4"/>
      <c r="E631" s="3"/>
      <c r="F631" s="4"/>
      <c r="G631" s="4"/>
      <c r="H631" s="1"/>
      <c r="I631" s="6"/>
      <c r="J631" s="22"/>
      <c r="K631" s="1"/>
    </row>
    <row r="632" spans="1:11" ht="15.75" customHeight="1">
      <c r="A632" s="92" t="s">
        <v>1248</v>
      </c>
      <c r="B632" s="1"/>
      <c r="C632" s="1"/>
      <c r="D632" s="1"/>
      <c r="E632" s="3"/>
      <c r="F632" s="4"/>
      <c r="G632" s="92" t="s">
        <v>1249</v>
      </c>
      <c r="H632" s="1"/>
      <c r="I632" s="4"/>
      <c r="J632" s="22"/>
      <c r="K632" s="1"/>
    </row>
    <row r="633" spans="1:11" ht="6" customHeight="1">
      <c r="A633" s="92"/>
      <c r="B633" s="1"/>
      <c r="C633" s="1"/>
      <c r="D633" s="1"/>
      <c r="E633" s="3"/>
      <c r="F633" s="4"/>
      <c r="G633" s="1"/>
      <c r="H633" s="1"/>
      <c r="I633" s="1"/>
      <c r="J633" s="22"/>
      <c r="K633" s="1"/>
    </row>
    <row r="634" spans="1:11" ht="15.75" customHeight="1">
      <c r="A634" s="4" t="s">
        <v>1049</v>
      </c>
      <c r="B634" s="1"/>
      <c r="C634" s="3">
        <f>-(ABS(B530)-E513)</f>
        <v>-4.440016316540894</v>
      </c>
      <c r="D634" s="4" t="s">
        <v>699</v>
      </c>
      <c r="E634" s="3"/>
      <c r="F634" s="4"/>
      <c r="G634" s="4" t="s">
        <v>284</v>
      </c>
      <c r="H634" s="1"/>
      <c r="I634" s="6">
        <f>+B513*C634</f>
        <v>-43538.8</v>
      </c>
      <c r="J634" s="22" t="s">
        <v>700</v>
      </c>
      <c r="K634" s="1"/>
    </row>
    <row r="635" spans="1:11" ht="6" customHeight="1">
      <c r="A635" s="4"/>
      <c r="B635" s="1"/>
      <c r="C635" s="1"/>
      <c r="D635" s="1"/>
      <c r="E635" s="3"/>
      <c r="F635" s="4"/>
      <c r="G635" s="1"/>
      <c r="H635" s="1"/>
      <c r="I635" s="1"/>
      <c r="J635" s="22"/>
      <c r="K635" s="1"/>
    </row>
    <row r="636" spans="1:11" ht="15.75" customHeight="1">
      <c r="A636" s="4" t="s">
        <v>285</v>
      </c>
      <c r="B636" s="4"/>
      <c r="C636" s="337"/>
      <c r="D636" s="1"/>
      <c r="E636" s="3"/>
      <c r="F636" s="4"/>
      <c r="G636" s="4" t="s">
        <v>286</v>
      </c>
      <c r="H636" s="1"/>
      <c r="I636" s="1"/>
      <c r="J636" s="22"/>
      <c r="K636" s="1"/>
    </row>
    <row r="637" spans="1:11" ht="6" customHeight="1">
      <c r="A637" s="1"/>
      <c r="B637" s="4"/>
      <c r="C637" s="1"/>
      <c r="D637" s="1"/>
      <c r="E637" s="3"/>
      <c r="F637" s="4"/>
      <c r="G637" s="75"/>
      <c r="H637" s="1"/>
      <c r="I637" s="1"/>
      <c r="J637" s="22"/>
      <c r="K637" s="1"/>
    </row>
    <row r="638" spans="1:12" ht="15.75" customHeight="1">
      <c r="A638" s="4" t="s">
        <v>289</v>
      </c>
      <c r="C638" s="3">
        <f>+H514*E514</f>
        <v>4.2</v>
      </c>
      <c r="D638" s="4" t="s">
        <v>108</v>
      </c>
      <c r="E638" s="3"/>
      <c r="F638" s="4"/>
      <c r="G638" s="4" t="s">
        <v>287</v>
      </c>
      <c r="H638" s="1"/>
      <c r="I638" s="6">
        <f>+I634*C638</f>
        <v>-182862.96000000002</v>
      </c>
      <c r="J638" s="22" t="s">
        <v>704</v>
      </c>
      <c r="K638" s="13"/>
      <c r="L638" s="12"/>
    </row>
    <row r="639" spans="1:11" ht="6" customHeight="1">
      <c r="A639" s="1"/>
      <c r="B639" s="3"/>
      <c r="C639" s="4"/>
      <c r="E639" s="3"/>
      <c r="F639" s="4"/>
      <c r="H639" s="1"/>
      <c r="I639" s="1"/>
      <c r="J639" s="1"/>
      <c r="K639" s="1"/>
    </row>
    <row r="640" spans="1:11" ht="15.75" customHeight="1">
      <c r="A640" s="5" t="s">
        <v>237</v>
      </c>
      <c r="B640" s="3"/>
      <c r="C640" s="4"/>
      <c r="E640" s="3"/>
      <c r="F640" s="4"/>
      <c r="G640" s="4" t="s">
        <v>1053</v>
      </c>
      <c r="H640" s="1"/>
      <c r="I640" s="1"/>
      <c r="J640" s="1"/>
      <c r="K640" s="1"/>
    </row>
    <row r="641" spans="1:11" ht="15.75" customHeight="1">
      <c r="A641" s="1"/>
      <c r="B641" s="3"/>
      <c r="C641" s="4"/>
      <c r="E641" s="3"/>
      <c r="F641" s="4"/>
      <c r="G641" s="4" t="s">
        <v>1054</v>
      </c>
      <c r="H641" s="1"/>
      <c r="I641" s="1"/>
      <c r="J641" s="4"/>
      <c r="K641" s="1"/>
    </row>
    <row r="642" spans="1:11" ht="15.75" customHeight="1">
      <c r="A642" s="1"/>
      <c r="B642" s="3"/>
      <c r="C642" s="4"/>
      <c r="E642" s="3"/>
      <c r="F642" s="4"/>
      <c r="G642" s="4" t="s">
        <v>1055</v>
      </c>
      <c r="H642" s="1"/>
      <c r="I642" s="1"/>
      <c r="J642" s="4"/>
      <c r="K642" s="1"/>
    </row>
    <row r="643" spans="1:12" ht="6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9" t="s">
        <v>290</v>
      </c>
      <c r="B644" s="74"/>
      <c r="C644" s="11">
        <f>+ABS(I626)</f>
        <v>139618.50000000003</v>
      </c>
      <c r="D644" s="23" t="s">
        <v>704</v>
      </c>
      <c r="E644" s="1"/>
      <c r="F644" s="9" t="s">
        <v>291</v>
      </c>
      <c r="G644" s="74"/>
      <c r="H644" s="10"/>
      <c r="I644" s="11">
        <f>+ABS(I638)-I616</f>
        <v>114934.72107777119</v>
      </c>
      <c r="J644" s="23" t="s">
        <v>704</v>
      </c>
      <c r="K644" s="1"/>
      <c r="L644" s="1"/>
    </row>
    <row r="645" spans="1:12" ht="15.75" customHeight="1">
      <c r="A645" s="4"/>
      <c r="B645" s="1"/>
      <c r="C645" s="1"/>
      <c r="D645" s="1"/>
      <c r="E645" s="1"/>
      <c r="F645" s="4" t="s">
        <v>258</v>
      </c>
      <c r="G645" s="4"/>
      <c r="H645" s="1"/>
      <c r="I645" s="1"/>
      <c r="J645" s="1"/>
      <c r="K645" s="1"/>
      <c r="L645" s="1"/>
    </row>
    <row r="646" spans="1:12" ht="15.75" customHeight="1">
      <c r="A646" s="4"/>
      <c r="B646" s="1"/>
      <c r="C646" s="1"/>
      <c r="D646" s="1"/>
      <c r="E646" s="1"/>
      <c r="F646" s="4" t="s">
        <v>1067</v>
      </c>
      <c r="G646" s="4"/>
      <c r="H646" s="1"/>
      <c r="I646" s="1"/>
      <c r="J646" s="1"/>
      <c r="K646" s="1"/>
      <c r="L646" s="1"/>
    </row>
    <row r="647" spans="1:12" ht="6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9" t="s">
        <v>664</v>
      </c>
      <c r="B648" s="10"/>
      <c r="C648" s="10"/>
      <c r="D648" s="11">
        <f>+SQRT(C644^2+I644^2)</f>
        <v>180840.58076514537</v>
      </c>
      <c r="E648" s="10" t="s">
        <v>704</v>
      </c>
      <c r="F648" s="4"/>
      <c r="G648" s="4" t="s">
        <v>292</v>
      </c>
      <c r="H648" s="4"/>
      <c r="I648" s="4"/>
      <c r="J648" s="4"/>
      <c r="K648" s="4"/>
      <c r="L648" s="4"/>
    </row>
    <row r="649" spans="1:12" ht="6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65" t="s">
        <v>293</v>
      </c>
      <c r="B650" s="15"/>
      <c r="C650" s="14"/>
      <c r="D650" s="12"/>
      <c r="E650" s="28"/>
      <c r="F650" s="14"/>
      <c r="G650" s="12"/>
      <c r="H650" s="15"/>
      <c r="I650" s="14"/>
      <c r="J650" s="16"/>
      <c r="K650" s="28"/>
      <c r="L650" s="25"/>
    </row>
    <row r="651" spans="1:12" ht="6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3" ht="15.75" customHeight="1">
      <c r="A652" s="4" t="s">
        <v>1056</v>
      </c>
      <c r="B652" s="1"/>
      <c r="C652" s="1"/>
      <c r="D652" s="1"/>
      <c r="E652" s="3"/>
      <c r="F652" s="4"/>
      <c r="G652" s="1"/>
      <c r="H652" s="1"/>
      <c r="I652" s="1"/>
      <c r="J652" s="1"/>
      <c r="K652" s="1"/>
      <c r="L652" s="1"/>
      <c r="M652" s="1"/>
    </row>
    <row r="653" spans="1:13" ht="15.75" customHeight="1">
      <c r="A653" s="4" t="s">
        <v>1059</v>
      </c>
      <c r="B653" s="1"/>
      <c r="C653" s="1"/>
      <c r="D653" s="1"/>
      <c r="E653" s="3"/>
      <c r="F653" s="4"/>
      <c r="G653" s="1"/>
      <c r="H653" s="1"/>
      <c r="I653" s="1"/>
      <c r="J653" s="1"/>
      <c r="K653" s="1"/>
      <c r="L653" s="1"/>
      <c r="M653" s="1"/>
    </row>
    <row r="654" spans="1:13" ht="15.75" customHeight="1">
      <c r="A654" s="4" t="s">
        <v>1057</v>
      </c>
      <c r="B654" s="1"/>
      <c r="C654" s="1"/>
      <c r="D654" s="1"/>
      <c r="E654" s="3"/>
      <c r="F654" s="4"/>
      <c r="G654" s="1"/>
      <c r="H654" s="1"/>
      <c r="I654" s="1"/>
      <c r="J654" s="1"/>
      <c r="K654" s="1"/>
      <c r="L654" s="1"/>
      <c r="M654" s="1"/>
    </row>
    <row r="655" spans="1:13" ht="15.75" customHeight="1">
      <c r="A655" s="4" t="s">
        <v>1058</v>
      </c>
      <c r="B655" s="1"/>
      <c r="C655" s="1"/>
      <c r="D655" s="1"/>
      <c r="E655" s="3"/>
      <c r="F655" s="4"/>
      <c r="G655" s="1"/>
      <c r="H655" s="1"/>
      <c r="I655" s="1"/>
      <c r="J655" s="1"/>
      <c r="K655" s="1"/>
      <c r="L655" s="1"/>
      <c r="M655" s="1"/>
    </row>
    <row r="656" spans="1:13" ht="6" customHeight="1">
      <c r="A656" s="4"/>
      <c r="B656" s="1"/>
      <c r="C656" s="1"/>
      <c r="D656" s="1"/>
      <c r="E656" s="3"/>
      <c r="F656" s="4"/>
      <c r="G656" s="1"/>
      <c r="H656" s="1"/>
      <c r="I656" s="1"/>
      <c r="J656" s="1"/>
      <c r="K656" s="1"/>
      <c r="L656" s="1"/>
      <c r="M656" s="1"/>
    </row>
    <row r="657" spans="1:13" ht="15.75" customHeight="1">
      <c r="A657" s="4" t="s">
        <v>2588</v>
      </c>
      <c r="B657" s="4"/>
      <c r="C657" s="337"/>
      <c r="D657" s="1"/>
      <c r="E657" s="3"/>
      <c r="F657" s="4"/>
      <c r="G657" s="1"/>
      <c r="H657" s="92" t="s">
        <v>1932</v>
      </c>
      <c r="I657" s="1"/>
      <c r="J657" s="4"/>
      <c r="K657" s="1"/>
      <c r="L657" s="1"/>
      <c r="M657" s="1"/>
    </row>
    <row r="658" spans="1:13" ht="6" customHeight="1">
      <c r="A658" s="1"/>
      <c r="B658" s="4"/>
      <c r="C658" s="1"/>
      <c r="D658" s="1"/>
      <c r="E658" s="3"/>
      <c r="F658" s="4"/>
      <c r="G658" s="1"/>
      <c r="H658" s="1"/>
      <c r="I658" s="1"/>
      <c r="J658" s="1"/>
      <c r="K658" s="1"/>
      <c r="L658" s="1"/>
      <c r="M658" s="1"/>
    </row>
    <row r="659" spans="1:13" ht="15.75" customHeight="1">
      <c r="A659" s="1" t="s">
        <v>1931</v>
      </c>
      <c r="B659" s="3">
        <f>+H514*E514</f>
        <v>4.2</v>
      </c>
      <c r="C659" s="4" t="s">
        <v>108</v>
      </c>
      <c r="D659" s="1"/>
      <c r="E659" s="3"/>
      <c r="F659" s="4"/>
      <c r="G659" s="1"/>
      <c r="H659" s="1" t="s">
        <v>1933</v>
      </c>
      <c r="I659" s="6">
        <f>+C525</f>
        <v>-53344.8</v>
      </c>
      <c r="J659" s="4" t="s">
        <v>700</v>
      </c>
      <c r="L659" s="1"/>
      <c r="M659" s="1"/>
    </row>
    <row r="660" spans="1:13" ht="6" customHeight="1">
      <c r="A660" s="1"/>
      <c r="B660" s="3"/>
      <c r="C660" s="4"/>
      <c r="D660" s="1"/>
      <c r="E660" s="3"/>
      <c r="F660" s="4"/>
      <c r="G660" s="1"/>
      <c r="H660" s="1"/>
      <c r="I660" s="1"/>
      <c r="J660" s="1"/>
      <c r="K660" s="1"/>
      <c r="L660" s="1"/>
      <c r="M660" s="1"/>
    </row>
    <row r="661" spans="1:13" ht="15.75" customHeight="1">
      <c r="A661" s="4" t="s">
        <v>1934</v>
      </c>
      <c r="B661" s="1"/>
      <c r="C661" s="1"/>
      <c r="D661" s="1"/>
      <c r="E661" s="3"/>
      <c r="F661" s="4"/>
      <c r="G661" s="1"/>
      <c r="H661" s="1"/>
      <c r="I661" s="1"/>
      <c r="J661" s="1"/>
      <c r="K661" s="1"/>
      <c r="L661" s="1"/>
      <c r="M661" s="1"/>
    </row>
    <row r="662" spans="1:13" ht="6" customHeight="1">
      <c r="A662" s="1"/>
      <c r="B662" s="3"/>
      <c r="C662" s="4"/>
      <c r="D662" s="1"/>
      <c r="E662" s="3"/>
      <c r="F662" s="4"/>
      <c r="G662" s="75"/>
      <c r="H662" s="1"/>
      <c r="I662" s="1"/>
      <c r="J662" s="1"/>
      <c r="K662" s="1"/>
      <c r="L662" s="1"/>
      <c r="M662" s="1"/>
    </row>
    <row r="663" spans="1:13" ht="15.75" customHeight="1">
      <c r="A663" s="9" t="s">
        <v>2580</v>
      </c>
      <c r="B663" s="74"/>
      <c r="C663" s="11">
        <f>+I659*B659</f>
        <v>-224048.16000000003</v>
      </c>
      <c r="D663" s="9" t="s">
        <v>704</v>
      </c>
      <c r="E663" s="4" t="s">
        <v>1068</v>
      </c>
      <c r="F663" s="4"/>
      <c r="G663" s="1"/>
      <c r="H663" s="1"/>
      <c r="I663" s="1"/>
      <c r="J663" s="1"/>
      <c r="K663" s="1"/>
      <c r="L663" s="1"/>
      <c r="M663" s="1"/>
    </row>
    <row r="664" spans="1:13" ht="15.75" customHeight="1">
      <c r="A664" s="1"/>
      <c r="B664" s="6"/>
      <c r="C664" s="4"/>
      <c r="D664" s="1"/>
      <c r="E664" s="4" t="s">
        <v>1069</v>
      </c>
      <c r="F664" s="4"/>
      <c r="G664" s="1"/>
      <c r="H664" s="1"/>
      <c r="I664" s="1"/>
      <c r="J664" s="1"/>
      <c r="K664" s="1"/>
      <c r="L664" s="1"/>
      <c r="M664" s="1"/>
    </row>
    <row r="665" spans="1:13" ht="15.75" customHeight="1">
      <c r="A665" s="4"/>
      <c r="B665" s="1"/>
      <c r="C665" s="1"/>
      <c r="D665" s="1"/>
      <c r="E665" s="4" t="s">
        <v>1070</v>
      </c>
      <c r="F665" s="4"/>
      <c r="G665" s="1"/>
      <c r="H665" s="1"/>
      <c r="I665" s="1"/>
      <c r="J665" s="1"/>
      <c r="K665" s="1"/>
      <c r="L665" s="1"/>
      <c r="M665" s="1"/>
    </row>
    <row r="666" spans="1:13" ht="6" customHeight="1">
      <c r="A666" s="4"/>
      <c r="B666" s="1"/>
      <c r="C666" s="1"/>
      <c r="D666" s="1"/>
      <c r="E666" s="4"/>
      <c r="F666" s="4"/>
      <c r="G666" s="1"/>
      <c r="H666" s="1"/>
      <c r="I666" s="1"/>
      <c r="J666" s="1"/>
      <c r="K666" s="1"/>
      <c r="L666" s="1"/>
      <c r="M666" s="1"/>
    </row>
    <row r="667" spans="1:13" ht="15.75" customHeight="1">
      <c r="A667" s="345" t="s">
        <v>1071</v>
      </c>
      <c r="B667" s="18"/>
      <c r="C667" s="18"/>
      <c r="D667" s="18"/>
      <c r="E667" s="346"/>
      <c r="F667" s="17"/>
      <c r="G667" s="18"/>
      <c r="H667" s="4"/>
      <c r="I667" s="1"/>
      <c r="J667" s="1"/>
      <c r="K667" s="1"/>
      <c r="L667" s="1"/>
      <c r="M667" s="1"/>
    </row>
    <row r="668" spans="1:12" ht="15.75" customHeight="1">
      <c r="A668" s="24" t="s">
        <v>1072</v>
      </c>
      <c r="B668" s="113"/>
      <c r="C668" s="114"/>
      <c r="D668" s="77"/>
      <c r="E668" s="24"/>
      <c r="F668" s="77"/>
      <c r="G668" s="113"/>
      <c r="H668" s="25"/>
      <c r="I668" s="12"/>
      <c r="J668" s="12"/>
      <c r="K668" s="12"/>
      <c r="L668" s="12"/>
    </row>
    <row r="669" spans="1:12" ht="15.75" customHeight="1">
      <c r="A669" s="24" t="s">
        <v>1073</v>
      </c>
      <c r="B669" s="113"/>
      <c r="C669" s="114"/>
      <c r="D669" s="77"/>
      <c r="E669" s="24"/>
      <c r="F669" s="77"/>
      <c r="G669" s="113"/>
      <c r="H669" s="25"/>
      <c r="I669" s="12"/>
      <c r="J669" s="12"/>
      <c r="K669" s="12"/>
      <c r="L669" s="12"/>
    </row>
    <row r="670" spans="2:12" ht="6" customHeight="1">
      <c r="B670" s="13"/>
      <c r="C670" s="25"/>
      <c r="D670" s="12"/>
      <c r="F670" s="12"/>
      <c r="G670" s="13"/>
      <c r="H670" s="25"/>
      <c r="I670" s="12"/>
      <c r="J670" s="12"/>
      <c r="K670" s="12"/>
      <c r="L670" s="12"/>
    </row>
    <row r="671" spans="1:13" ht="15.75" customHeight="1">
      <c r="A671" s="14" t="s">
        <v>1935</v>
      </c>
      <c r="B671" s="13"/>
      <c r="C671" s="14"/>
      <c r="D671" s="12"/>
      <c r="E671" s="15"/>
      <c r="F671" s="14"/>
      <c r="G671" s="4"/>
      <c r="H671" s="1"/>
      <c r="I671" s="12"/>
      <c r="J671" s="12"/>
      <c r="K671" s="12"/>
      <c r="L671" s="12"/>
      <c r="M671" s="12"/>
    </row>
    <row r="672" spans="1:13" ht="15.75" customHeight="1">
      <c r="A672" s="120" t="s">
        <v>1060</v>
      </c>
      <c r="B672" s="13"/>
      <c r="C672" s="14"/>
      <c r="D672" s="12"/>
      <c r="E672" s="15"/>
      <c r="F672" s="14"/>
      <c r="G672" s="4"/>
      <c r="H672" s="1"/>
      <c r="I672" s="12"/>
      <c r="J672" s="12"/>
      <c r="K672" s="12"/>
      <c r="L672" s="12"/>
      <c r="M672" s="12"/>
    </row>
    <row r="673" spans="1:13" ht="15.75" customHeight="1">
      <c r="A673" s="120" t="s">
        <v>1061</v>
      </c>
      <c r="B673" s="13"/>
      <c r="C673" s="14"/>
      <c r="D673" s="12"/>
      <c r="E673" s="15"/>
      <c r="F673" s="14"/>
      <c r="G673" s="4"/>
      <c r="H673" s="1"/>
      <c r="I673" s="12"/>
      <c r="J673" s="12"/>
      <c r="K673" s="12"/>
      <c r="L673" s="12"/>
      <c r="M673" s="12"/>
    </row>
    <row r="674" spans="1:13" ht="15.75" customHeight="1">
      <c r="A674" s="14" t="s">
        <v>1062</v>
      </c>
      <c r="B674" s="13"/>
      <c r="C674" s="14"/>
      <c r="D674" s="12"/>
      <c r="E674" s="15"/>
      <c r="F674" s="14"/>
      <c r="G674" s="4"/>
      <c r="H674" s="1"/>
      <c r="I674" s="12"/>
      <c r="J674" s="12"/>
      <c r="K674" s="12"/>
      <c r="L674" s="12"/>
      <c r="M674" s="12"/>
    </row>
    <row r="675" spans="1:13" ht="15.75" customHeight="1">
      <c r="A675" s="120" t="s">
        <v>1063</v>
      </c>
      <c r="B675" s="13"/>
      <c r="C675" s="14"/>
      <c r="D675" s="12"/>
      <c r="E675" s="15"/>
      <c r="F675" s="14"/>
      <c r="G675" s="4"/>
      <c r="H675" s="1"/>
      <c r="I675" s="12"/>
      <c r="J675" s="12"/>
      <c r="K675" s="12"/>
      <c r="L675" s="12"/>
      <c r="M675" s="12"/>
    </row>
    <row r="676" spans="1:12" ht="15.75" customHeight="1">
      <c r="A676" s="120" t="s">
        <v>1064</v>
      </c>
      <c r="B676" s="13"/>
      <c r="C676" s="25"/>
      <c r="D676" s="12"/>
      <c r="E676" s="12"/>
      <c r="F676" s="12"/>
      <c r="G676" s="13"/>
      <c r="H676" s="25"/>
      <c r="I676" s="12"/>
      <c r="J676" s="12"/>
      <c r="K676" s="12"/>
      <c r="L676" s="12"/>
    </row>
    <row r="677" spans="1:12" ht="15.75" customHeight="1">
      <c r="A677" s="4" t="s">
        <v>1065</v>
      </c>
      <c r="B677" s="13"/>
      <c r="C677" s="25"/>
      <c r="D677" s="12"/>
      <c r="E677" s="12"/>
      <c r="F677" s="12"/>
      <c r="G677" s="13"/>
      <c r="H677" s="25"/>
      <c r="I677" s="12"/>
      <c r="J677" s="12"/>
      <c r="K677" s="12"/>
      <c r="L677" s="12"/>
    </row>
    <row r="678" spans="1:12" ht="15.75" customHeight="1">
      <c r="A678" s="4" t="s">
        <v>1066</v>
      </c>
      <c r="B678" s="13"/>
      <c r="C678" s="25"/>
      <c r="D678" s="12"/>
      <c r="E678" s="12"/>
      <c r="F678" s="12"/>
      <c r="G678" s="13"/>
      <c r="H678" s="25"/>
      <c r="I678" s="12"/>
      <c r="J678" s="12"/>
      <c r="K678" s="12"/>
      <c r="L678" s="12"/>
    </row>
    <row r="679" spans="1:12" ht="6" customHeight="1">
      <c r="A679" s="4"/>
      <c r="B679" s="13"/>
      <c r="C679" s="25"/>
      <c r="D679" s="12"/>
      <c r="E679" s="12"/>
      <c r="F679" s="12"/>
      <c r="G679" s="13"/>
      <c r="H679" s="25"/>
      <c r="I679" s="12"/>
      <c r="J679" s="12"/>
      <c r="K679" s="12"/>
      <c r="L679" s="12"/>
    </row>
    <row r="680" spans="1:12" ht="15.75" customHeight="1">
      <c r="A680" s="4" t="s">
        <v>2587</v>
      </c>
      <c r="B680" s="4"/>
      <c r="C680" s="337"/>
      <c r="D680" s="1"/>
      <c r="E680" s="3"/>
      <c r="F680" s="4"/>
      <c r="G680" s="1"/>
      <c r="H680" s="92" t="s">
        <v>1932</v>
      </c>
      <c r="I680" s="1"/>
      <c r="J680" s="4"/>
      <c r="K680" s="1"/>
      <c r="L680" s="1"/>
    </row>
    <row r="681" spans="1:12" ht="6" customHeight="1">
      <c r="A681" s="1"/>
      <c r="B681" s="4"/>
      <c r="C681" s="1"/>
      <c r="D681" s="1"/>
      <c r="E681" s="3"/>
      <c r="F681" s="4"/>
      <c r="G681" s="1"/>
      <c r="H681" s="1"/>
      <c r="I681" s="1"/>
      <c r="J681" s="1"/>
      <c r="K681" s="1"/>
      <c r="L681" s="1"/>
    </row>
    <row r="682" spans="1:12" ht="15.75" customHeight="1">
      <c r="A682" s="1" t="s">
        <v>2578</v>
      </c>
      <c r="B682" s="3">
        <f>+H514*E514</f>
        <v>4.2</v>
      </c>
      <c r="C682" s="4" t="s">
        <v>108</v>
      </c>
      <c r="D682" s="1"/>
      <c r="E682" s="3"/>
      <c r="F682" s="4"/>
      <c r="G682" s="1"/>
      <c r="H682" s="1" t="s">
        <v>1933</v>
      </c>
      <c r="I682" s="6">
        <f>+C525</f>
        <v>-53344.8</v>
      </c>
      <c r="J682" s="4" t="s">
        <v>700</v>
      </c>
      <c r="L682" s="1"/>
    </row>
    <row r="683" spans="1:12" ht="6" customHeight="1">
      <c r="A683" s="1"/>
      <c r="B683" s="3"/>
      <c r="C683" s="4"/>
      <c r="D683" s="1"/>
      <c r="E683" s="3"/>
      <c r="F683" s="4"/>
      <c r="G683" s="1"/>
      <c r="H683" s="1"/>
      <c r="I683" s="1"/>
      <c r="J683" s="1"/>
      <c r="K683" s="1"/>
      <c r="L683" s="1"/>
    </row>
    <row r="684" spans="1:12" ht="15.75" customHeight="1">
      <c r="A684" s="4" t="s">
        <v>2579</v>
      </c>
      <c r="B684" s="1"/>
      <c r="C684" s="1"/>
      <c r="D684" s="1"/>
      <c r="E684" s="3"/>
      <c r="F684" s="4"/>
      <c r="G684" s="1"/>
      <c r="H684" s="1"/>
      <c r="I684" s="1"/>
      <c r="J684" s="1"/>
      <c r="K684" s="1"/>
      <c r="L684" s="1"/>
    </row>
    <row r="685" spans="1:12" ht="6" customHeight="1">
      <c r="A685" s="1"/>
      <c r="B685" s="3"/>
      <c r="C685" s="4"/>
      <c r="D685" s="1"/>
      <c r="E685" s="3"/>
      <c r="F685" s="4"/>
      <c r="G685" s="75"/>
      <c r="H685" s="1"/>
      <c r="I685" s="1"/>
      <c r="J685" s="1"/>
      <c r="K685" s="1"/>
      <c r="L685" s="1"/>
    </row>
    <row r="686" spans="1:12" ht="15.75" customHeight="1">
      <c r="A686" s="9" t="s">
        <v>2581</v>
      </c>
      <c r="B686" s="74"/>
      <c r="C686" s="11">
        <f>+I682*B682</f>
        <v>-224048.16000000003</v>
      </c>
      <c r="D686" s="9" t="s">
        <v>704</v>
      </c>
      <c r="E686" s="4" t="s">
        <v>1078</v>
      </c>
      <c r="F686" s="4"/>
      <c r="G686" s="1"/>
      <c r="H686" s="1"/>
      <c r="I686" s="1"/>
      <c r="J686" s="1"/>
      <c r="K686" s="1"/>
      <c r="L686" s="1"/>
    </row>
    <row r="687" spans="1:12" ht="15.75" customHeight="1">
      <c r="A687" s="1"/>
      <c r="B687" s="6"/>
      <c r="C687" s="4"/>
      <c r="D687" s="1"/>
      <c r="E687" s="4" t="s">
        <v>1079</v>
      </c>
      <c r="F687" s="4"/>
      <c r="G687" s="1"/>
      <c r="H687" s="1"/>
      <c r="I687" s="1"/>
      <c r="J687" s="1"/>
      <c r="K687" s="1"/>
      <c r="L687" s="1"/>
    </row>
    <row r="688" spans="1:12" ht="15.75" customHeight="1">
      <c r="A688" s="4"/>
      <c r="B688" s="1"/>
      <c r="C688" s="1"/>
      <c r="D688" s="1"/>
      <c r="E688" s="4" t="s">
        <v>1080</v>
      </c>
      <c r="F688" s="4"/>
      <c r="G688" s="1"/>
      <c r="H688" s="1"/>
      <c r="I688" s="1"/>
      <c r="J688" s="1"/>
      <c r="K688" s="1"/>
      <c r="L688" s="1"/>
    </row>
    <row r="689" spans="1:12" ht="6" customHeight="1">
      <c r="A689" s="14"/>
      <c r="B689" s="13"/>
      <c r="C689" s="25"/>
      <c r="D689" s="12"/>
      <c r="E689" s="12"/>
      <c r="F689" s="12"/>
      <c r="G689" s="13"/>
      <c r="H689" s="25"/>
      <c r="I689" s="12"/>
      <c r="J689" s="12"/>
      <c r="K689" s="12"/>
      <c r="L689" s="12"/>
    </row>
    <row r="690" spans="1:12" ht="15.75" customHeight="1">
      <c r="A690" s="120" t="s">
        <v>867</v>
      </c>
      <c r="B690" s="13"/>
      <c r="C690" s="9" t="s">
        <v>465</v>
      </c>
      <c r="D690" s="10"/>
      <c r="E690" s="10"/>
      <c r="F690" s="11">
        <f>+SQRT(C663^2+C686^2)</f>
        <v>316851.9464967372</v>
      </c>
      <c r="G690" s="10" t="s">
        <v>704</v>
      </c>
      <c r="H690" s="25"/>
      <c r="I690" s="12"/>
      <c r="J690" s="12"/>
      <c r="K690" s="12"/>
      <c r="L690" s="12"/>
    </row>
    <row r="691" spans="2:12" ht="6" customHeight="1">
      <c r="B691" s="13"/>
      <c r="C691" s="25"/>
      <c r="D691" s="12"/>
      <c r="E691" s="12"/>
      <c r="F691" s="12"/>
      <c r="G691" s="13"/>
      <c r="H691" s="25"/>
      <c r="I691" s="12"/>
      <c r="J691" s="12"/>
      <c r="K691" s="12"/>
      <c r="L691" s="12"/>
    </row>
    <row r="692" spans="1:12" ht="15.75" customHeight="1">
      <c r="A692" s="14" t="s">
        <v>1081</v>
      </c>
      <c r="B692" s="13"/>
      <c r="C692" s="25"/>
      <c r="D692" s="12"/>
      <c r="E692" s="12"/>
      <c r="F692" s="12"/>
      <c r="G692" s="13"/>
      <c r="H692" s="25"/>
      <c r="I692" s="12"/>
      <c r="J692" s="12"/>
      <c r="K692" s="12"/>
      <c r="L692" s="12"/>
    </row>
    <row r="693" spans="1:12" ht="15.75" customHeight="1">
      <c r="A693" s="14" t="s">
        <v>1082</v>
      </c>
      <c r="B693" s="13"/>
      <c r="C693" s="25"/>
      <c r="D693" s="12"/>
      <c r="E693" s="12"/>
      <c r="F693" s="12"/>
      <c r="G693" s="13"/>
      <c r="H693" s="25"/>
      <c r="I693" s="12"/>
      <c r="J693" s="12"/>
      <c r="K693" s="12"/>
      <c r="L693" s="12"/>
    </row>
    <row r="694" spans="1:12" ht="6" customHeight="1">
      <c r="A694" s="14"/>
      <c r="B694" s="13"/>
      <c r="C694" s="25"/>
      <c r="D694" s="12"/>
      <c r="E694" s="12"/>
      <c r="F694" s="12"/>
      <c r="G694" s="13"/>
      <c r="H694" s="25"/>
      <c r="I694" s="12"/>
      <c r="J694" s="12"/>
      <c r="K694" s="12"/>
      <c r="L694" s="12"/>
    </row>
    <row r="695" spans="1:12" ht="15.75" customHeight="1">
      <c r="A695" s="65" t="s">
        <v>2582</v>
      </c>
      <c r="B695" s="13"/>
      <c r="C695" s="25"/>
      <c r="D695" s="12"/>
      <c r="E695" s="12"/>
      <c r="F695" s="12"/>
      <c r="G695" s="13"/>
      <c r="H695" s="25"/>
      <c r="I695" s="12"/>
      <c r="J695" s="12"/>
      <c r="K695" s="12"/>
      <c r="L695" s="12"/>
    </row>
    <row r="696" spans="1:12" ht="6" customHeight="1">
      <c r="A696" s="14"/>
      <c r="B696" s="13"/>
      <c r="C696" s="25"/>
      <c r="D696" s="12"/>
      <c r="E696" s="12"/>
      <c r="F696" s="12"/>
      <c r="G696" s="13"/>
      <c r="H696" s="25"/>
      <c r="I696" s="12"/>
      <c r="J696" s="12"/>
      <c r="K696" s="12"/>
      <c r="L696" s="12"/>
    </row>
    <row r="697" spans="1:13" ht="15.75" customHeight="1">
      <c r="A697" s="4" t="s">
        <v>331</v>
      </c>
      <c r="B697" s="1"/>
      <c r="C697" s="1"/>
      <c r="D697" s="1"/>
      <c r="E697" s="3"/>
      <c r="F697" s="4"/>
      <c r="G697" s="1"/>
      <c r="H697" s="1"/>
      <c r="I697" s="1"/>
      <c r="J697" s="1"/>
      <c r="K697" s="1"/>
      <c r="L697" s="1"/>
      <c r="M697" s="1"/>
    </row>
    <row r="698" spans="1:13" ht="15.75" customHeight="1">
      <c r="A698" s="4" t="s">
        <v>334</v>
      </c>
      <c r="B698" s="1"/>
      <c r="C698" s="1"/>
      <c r="D698" s="1"/>
      <c r="E698" s="3"/>
      <c r="F698" s="4"/>
      <c r="G698" s="1"/>
      <c r="H698" s="1"/>
      <c r="I698" s="1"/>
      <c r="J698" s="1"/>
      <c r="K698" s="1"/>
      <c r="L698" s="1"/>
      <c r="M698" s="1"/>
    </row>
    <row r="699" spans="1:13" ht="15.75" customHeight="1">
      <c r="A699" s="4" t="s">
        <v>332</v>
      </c>
      <c r="B699" s="1"/>
      <c r="C699" s="1"/>
      <c r="D699" s="1"/>
      <c r="E699" s="3"/>
      <c r="F699" s="4"/>
      <c r="G699" s="1"/>
      <c r="H699" s="1"/>
      <c r="I699" s="1"/>
      <c r="J699" s="1"/>
      <c r="K699" s="1"/>
      <c r="L699" s="1"/>
      <c r="M699" s="1"/>
    </row>
    <row r="700" spans="1:13" ht="15.75" customHeight="1">
      <c r="A700" s="4" t="s">
        <v>333</v>
      </c>
      <c r="B700" s="1"/>
      <c r="C700" s="1"/>
      <c r="D700" s="1"/>
      <c r="E700" s="3"/>
      <c r="F700" s="4"/>
      <c r="G700" s="1"/>
      <c r="H700" s="1"/>
      <c r="I700" s="1"/>
      <c r="J700" s="1"/>
      <c r="K700" s="1"/>
      <c r="L700" s="1"/>
      <c r="M700" s="1"/>
    </row>
    <row r="701" spans="1:13" ht="6" customHeight="1">
      <c r="A701" s="4"/>
      <c r="B701" s="1"/>
      <c r="C701" s="1"/>
      <c r="D701" s="1"/>
      <c r="E701" s="3"/>
      <c r="F701" s="4"/>
      <c r="G701" s="1"/>
      <c r="H701" s="1"/>
      <c r="I701" s="1"/>
      <c r="J701" s="1"/>
      <c r="K701" s="1"/>
      <c r="L701" s="1"/>
      <c r="M701" s="1"/>
    </row>
    <row r="702" spans="1:13" ht="15.75" customHeight="1">
      <c r="A702" s="92" t="s">
        <v>2105</v>
      </c>
      <c r="B702" s="1"/>
      <c r="C702" s="1"/>
      <c r="D702" s="1"/>
      <c r="E702" s="3"/>
      <c r="F702" s="4"/>
      <c r="G702" s="92" t="s">
        <v>1115</v>
      </c>
      <c r="H702" s="92"/>
      <c r="I702" s="1"/>
      <c r="J702" s="4"/>
      <c r="K702" s="1"/>
      <c r="L702" s="1"/>
      <c r="M702" s="1"/>
    </row>
    <row r="703" spans="1:13" ht="6" customHeight="1">
      <c r="A703" s="92"/>
      <c r="B703" s="1"/>
      <c r="C703" s="1"/>
      <c r="D703" s="1"/>
      <c r="E703" s="3"/>
      <c r="F703" s="4"/>
      <c r="G703" s="1"/>
      <c r="H703" s="1"/>
      <c r="I703" s="1"/>
      <c r="J703" s="1"/>
      <c r="K703" s="1"/>
      <c r="L703" s="1"/>
      <c r="M703" s="1"/>
    </row>
    <row r="704" spans="1:13" ht="15.75" customHeight="1">
      <c r="A704" s="4" t="s">
        <v>280</v>
      </c>
      <c r="B704" s="1"/>
      <c r="C704" s="3">
        <f>+C622</f>
        <v>-3.390016316540894</v>
      </c>
      <c r="D704" s="4" t="s">
        <v>699</v>
      </c>
      <c r="E704" s="3"/>
      <c r="F704" s="4"/>
      <c r="G704" s="4" t="s">
        <v>2443</v>
      </c>
      <c r="H704" s="4"/>
      <c r="I704" s="6">
        <f>+I622</f>
        <v>-33242.50000000001</v>
      </c>
      <c r="J704" s="4" t="s">
        <v>700</v>
      </c>
      <c r="L704" s="1"/>
      <c r="M704" s="1"/>
    </row>
    <row r="705" spans="1:13" ht="6" customHeight="1">
      <c r="A705" s="1"/>
      <c r="B705" s="3"/>
      <c r="C705" s="4"/>
      <c r="D705" s="1"/>
      <c r="E705" s="3"/>
      <c r="F705" s="4"/>
      <c r="G705" s="1"/>
      <c r="H705" s="1"/>
      <c r="I705" s="1"/>
      <c r="J705" s="1"/>
      <c r="K705" s="1"/>
      <c r="L705" s="1"/>
      <c r="M705" s="1"/>
    </row>
    <row r="706" spans="1:13" ht="15.75" customHeight="1">
      <c r="A706" s="4" t="s">
        <v>2586</v>
      </c>
      <c r="E706" s="3"/>
      <c r="F706" s="4"/>
      <c r="G706" s="4" t="s">
        <v>506</v>
      </c>
      <c r="H706" s="1"/>
      <c r="I706" s="1"/>
      <c r="J706" s="337"/>
      <c r="L706" s="1"/>
      <c r="M706" s="1"/>
    </row>
    <row r="707" spans="5:13" ht="6" customHeight="1">
      <c r="E707" s="3"/>
      <c r="F707" s="4"/>
      <c r="G707" s="1"/>
      <c r="H707" s="3"/>
      <c r="I707" s="4"/>
      <c r="J707" s="1"/>
      <c r="L707" s="1"/>
      <c r="M707" s="1"/>
    </row>
    <row r="708" spans="1:13" ht="15.75" customHeight="1">
      <c r="A708" s="4" t="s">
        <v>288</v>
      </c>
      <c r="C708" s="3">
        <f>+C626</f>
        <v>4.2</v>
      </c>
      <c r="D708" s="4" t="s">
        <v>108</v>
      </c>
      <c r="E708" s="3"/>
      <c r="F708" s="4"/>
      <c r="G708" s="9" t="s">
        <v>2589</v>
      </c>
      <c r="H708" s="74"/>
      <c r="I708" s="11">
        <f>+I704*C708</f>
        <v>-139618.50000000003</v>
      </c>
      <c r="J708" s="9" t="s">
        <v>704</v>
      </c>
      <c r="L708" s="1"/>
      <c r="M708" s="1"/>
    </row>
    <row r="709" spans="1:13" ht="6" customHeight="1">
      <c r="A709" s="4"/>
      <c r="B709" s="1"/>
      <c r="C709" s="1"/>
      <c r="D709" s="1"/>
      <c r="E709" s="3"/>
      <c r="F709" s="4"/>
      <c r="G709" s="1"/>
      <c r="H709" s="1"/>
      <c r="I709" s="1"/>
      <c r="J709" s="1"/>
      <c r="K709" s="1"/>
      <c r="L709" s="1"/>
      <c r="M709" s="1"/>
    </row>
    <row r="710" spans="4:13" ht="15.75" customHeight="1">
      <c r="D710" s="1"/>
      <c r="E710" s="3"/>
      <c r="F710" s="4"/>
      <c r="G710" s="4" t="s">
        <v>335</v>
      </c>
      <c r="H710" s="1"/>
      <c r="I710" s="1"/>
      <c r="J710" s="1"/>
      <c r="K710" s="1"/>
      <c r="L710" s="1"/>
      <c r="M710" s="1"/>
    </row>
    <row r="711" spans="4:13" ht="15.75" customHeight="1">
      <c r="D711" s="1"/>
      <c r="E711" s="3"/>
      <c r="F711" s="4"/>
      <c r="G711" s="4" t="s">
        <v>1051</v>
      </c>
      <c r="H711" s="1"/>
      <c r="I711" s="1"/>
      <c r="J711" s="1"/>
      <c r="K711" s="1"/>
      <c r="L711" s="1"/>
      <c r="M711" s="1"/>
    </row>
    <row r="712" spans="4:13" ht="15.75" customHeight="1">
      <c r="D712" s="1"/>
      <c r="E712" s="4"/>
      <c r="F712" s="4"/>
      <c r="G712" s="4" t="s">
        <v>336</v>
      </c>
      <c r="H712" s="1"/>
      <c r="I712" s="1"/>
      <c r="J712" s="1"/>
      <c r="K712" s="1"/>
      <c r="L712" s="1"/>
      <c r="M712" s="1"/>
    </row>
    <row r="713" spans="4:13" ht="15.75" customHeight="1">
      <c r="D713" s="1"/>
      <c r="E713" s="4"/>
      <c r="F713" s="4"/>
      <c r="G713" s="4" t="s">
        <v>337</v>
      </c>
      <c r="H713" s="1"/>
      <c r="I713" s="1"/>
      <c r="J713" s="1"/>
      <c r="K713" s="1"/>
      <c r="L713" s="1"/>
      <c r="M713" s="1"/>
    </row>
    <row r="714" spans="1:13" ht="6" customHeight="1">
      <c r="A714" s="1"/>
      <c r="B714" s="6"/>
      <c r="C714" s="4"/>
      <c r="D714" s="1"/>
      <c r="E714" s="4"/>
      <c r="F714" s="4"/>
      <c r="G714" s="1"/>
      <c r="H714" s="1"/>
      <c r="I714" s="1"/>
      <c r="J714" s="1"/>
      <c r="K714" s="1"/>
      <c r="L714" s="1"/>
      <c r="M714" s="1"/>
    </row>
    <row r="715" spans="1:13" ht="15.75" customHeight="1">
      <c r="A715" s="14" t="s">
        <v>2590</v>
      </c>
      <c r="B715" s="13"/>
      <c r="C715" s="14"/>
      <c r="D715" s="12"/>
      <c r="E715" s="15"/>
      <c r="F715" s="14"/>
      <c r="G715" s="4"/>
      <c r="H715" s="1"/>
      <c r="I715" s="12"/>
      <c r="J715" s="12"/>
      <c r="K715" s="12"/>
      <c r="L715" s="12"/>
      <c r="M715" s="12"/>
    </row>
    <row r="716" spans="1:13" ht="6" customHeight="1">
      <c r="A716" s="14"/>
      <c r="B716" s="13"/>
      <c r="C716" s="14"/>
      <c r="D716" s="12"/>
      <c r="E716" s="15"/>
      <c r="F716" s="14"/>
      <c r="G716" s="4"/>
      <c r="H716" s="1"/>
      <c r="I716" s="12"/>
      <c r="J716" s="12"/>
      <c r="K716" s="12"/>
      <c r="L716" s="12"/>
      <c r="M716" s="12"/>
    </row>
    <row r="717" spans="1:13" ht="15.75" customHeight="1">
      <c r="A717" s="14" t="s">
        <v>338</v>
      </c>
      <c r="B717" s="13"/>
      <c r="C717" s="14"/>
      <c r="D717" s="12"/>
      <c r="E717" s="15"/>
      <c r="F717" s="14"/>
      <c r="G717" s="4"/>
      <c r="H717" s="12"/>
      <c r="I717" s="12"/>
      <c r="J717" s="12"/>
      <c r="K717" s="12"/>
      <c r="L717" s="12"/>
      <c r="M717" s="12"/>
    </row>
    <row r="718" spans="1:13" ht="15.75" customHeight="1">
      <c r="A718" s="14" t="s">
        <v>2591</v>
      </c>
      <c r="B718" s="13"/>
      <c r="C718" s="14"/>
      <c r="D718" s="12"/>
      <c r="E718" s="15"/>
      <c r="F718" s="14"/>
      <c r="G718" s="4"/>
      <c r="H718" s="12"/>
      <c r="I718" s="12"/>
      <c r="J718" s="12"/>
      <c r="K718" s="12"/>
      <c r="L718" s="12"/>
      <c r="M718" s="12"/>
    </row>
    <row r="719" spans="1:13" ht="15.75" customHeight="1">
      <c r="A719" s="14" t="s">
        <v>2592</v>
      </c>
      <c r="B719" s="13"/>
      <c r="C719" s="14"/>
      <c r="D719" s="12"/>
      <c r="E719" s="15"/>
      <c r="F719" s="14"/>
      <c r="G719" s="4" t="s">
        <v>2595</v>
      </c>
      <c r="H719" s="12"/>
      <c r="I719" s="12"/>
      <c r="J719" s="3">
        <f>+(ABS(B530)-E513)*H514*E514-((1/4)*PI()*(H514^2))*E514</f>
        <v>11.72085672830626</v>
      </c>
      <c r="K719" s="4" t="s">
        <v>109</v>
      </c>
      <c r="M719" s="12"/>
    </row>
    <row r="720" spans="1:13" ht="15.75" customHeight="1">
      <c r="A720" s="14" t="s">
        <v>2593</v>
      </c>
      <c r="B720" s="13"/>
      <c r="C720" s="14"/>
      <c r="D720" s="12"/>
      <c r="E720" s="15"/>
      <c r="F720" s="14"/>
      <c r="G720" s="12"/>
      <c r="H720" s="12"/>
      <c r="I720" s="12"/>
      <c r="J720" s="12"/>
      <c r="K720" s="12"/>
      <c r="M720" s="12"/>
    </row>
    <row r="721" spans="1:13" ht="15.75" customHeight="1">
      <c r="A721" s="14" t="s">
        <v>2594</v>
      </c>
      <c r="B721" s="13"/>
      <c r="C721" s="14"/>
      <c r="D721" s="12"/>
      <c r="E721" s="15"/>
      <c r="F721" s="14"/>
      <c r="G721" s="4" t="s">
        <v>2596</v>
      </c>
      <c r="H721" s="12"/>
      <c r="I721" s="6">
        <f>+J719*B513</f>
        <v>114934.72107777117</v>
      </c>
      <c r="J721" s="4" t="s">
        <v>704</v>
      </c>
      <c r="K721" s="12"/>
      <c r="M721" s="12"/>
    </row>
    <row r="722" spans="1:13" ht="6" customHeight="1">
      <c r="A722" s="4"/>
      <c r="B722" s="1"/>
      <c r="C722" s="1"/>
      <c r="D722" s="1"/>
      <c r="E722" s="3"/>
      <c r="F722" s="4"/>
      <c r="G722" s="1"/>
      <c r="H722" s="4"/>
      <c r="I722" s="1"/>
      <c r="J722" s="1"/>
      <c r="K722" s="1"/>
      <c r="L722" s="1"/>
      <c r="M722" s="1"/>
    </row>
    <row r="723" spans="1:12" ht="15.75" customHeight="1">
      <c r="A723" s="14" t="s">
        <v>2214</v>
      </c>
      <c r="B723" s="13"/>
      <c r="C723" s="25"/>
      <c r="D723" s="12"/>
      <c r="E723" s="12"/>
      <c r="F723" s="12"/>
      <c r="G723" s="13"/>
      <c r="H723" s="25"/>
      <c r="I723" s="12"/>
      <c r="J723" s="12"/>
      <c r="K723" s="12"/>
      <c r="L723" s="12"/>
    </row>
    <row r="724" spans="1:12" ht="6" customHeight="1">
      <c r="A724" s="14"/>
      <c r="B724" s="13"/>
      <c r="C724" s="25"/>
      <c r="D724" s="12"/>
      <c r="E724" s="12"/>
      <c r="F724" s="12"/>
      <c r="G724" s="13"/>
      <c r="H724" s="25"/>
      <c r="I724" s="12"/>
      <c r="J724" s="12"/>
      <c r="K724" s="12"/>
      <c r="L724" s="12"/>
    </row>
    <row r="725" spans="1:12" ht="15.75" customHeight="1">
      <c r="A725" s="9" t="s">
        <v>2597</v>
      </c>
      <c r="B725" s="74"/>
      <c r="C725" s="11">
        <f>+I721</f>
        <v>114934.72107777117</v>
      </c>
      <c r="D725" s="23" t="s">
        <v>704</v>
      </c>
      <c r="F725" s="12"/>
      <c r="G725" s="13"/>
      <c r="H725" s="25"/>
      <c r="I725" s="12"/>
      <c r="J725" s="12"/>
      <c r="K725" s="12"/>
      <c r="L725" s="12"/>
    </row>
    <row r="726" spans="1:12" ht="6" customHeight="1">
      <c r="A726" s="14"/>
      <c r="B726" s="13"/>
      <c r="C726" s="25"/>
      <c r="D726" s="12"/>
      <c r="E726" s="12"/>
      <c r="F726" s="12"/>
      <c r="G726" s="13"/>
      <c r="H726" s="25"/>
      <c r="I726" s="12"/>
      <c r="J726" s="12"/>
      <c r="K726" s="12"/>
      <c r="L726" s="12"/>
    </row>
    <row r="727" spans="1:12" ht="15.75" customHeight="1">
      <c r="A727" s="14" t="s">
        <v>2598</v>
      </c>
      <c r="B727" s="13"/>
      <c r="C727" s="25"/>
      <c r="D727" s="12"/>
      <c r="E727" s="12"/>
      <c r="F727" s="12"/>
      <c r="G727" s="13"/>
      <c r="H727" s="25"/>
      <c r="I727" s="12"/>
      <c r="J727" s="12"/>
      <c r="K727" s="12"/>
      <c r="L727" s="12"/>
    </row>
    <row r="728" spans="1:12" ht="6" customHeight="1">
      <c r="A728" s="14"/>
      <c r="B728" s="13"/>
      <c r="C728" s="25"/>
      <c r="D728" s="12"/>
      <c r="E728" s="12"/>
      <c r="F728" s="12"/>
      <c r="G728" s="13"/>
      <c r="H728" s="25"/>
      <c r="I728" s="12"/>
      <c r="J728" s="12"/>
      <c r="K728" s="12"/>
      <c r="L728" s="12"/>
    </row>
    <row r="729" spans="1:12" ht="15.75" customHeight="1">
      <c r="A729" s="9" t="s">
        <v>664</v>
      </c>
      <c r="B729" s="10"/>
      <c r="C729" s="10"/>
      <c r="D729" s="11">
        <f>+SQRT(I708^2+C725^2)</f>
        <v>180840.58076514537</v>
      </c>
      <c r="E729" s="10" t="s">
        <v>704</v>
      </c>
      <c r="F729" s="12"/>
      <c r="G729" s="13"/>
      <c r="H729" s="25"/>
      <c r="I729" s="12"/>
      <c r="J729" s="12"/>
      <c r="K729" s="12"/>
      <c r="L729" s="12"/>
    </row>
    <row r="730" spans="1:12" ht="6" customHeight="1">
      <c r="A730" s="14"/>
      <c r="B730" s="13"/>
      <c r="C730" s="25"/>
      <c r="D730" s="12"/>
      <c r="E730" s="12"/>
      <c r="F730" s="12"/>
      <c r="G730" s="13"/>
      <c r="H730" s="25"/>
      <c r="I730" s="12"/>
      <c r="J730" s="12"/>
      <c r="K730" s="12"/>
      <c r="L730" s="12"/>
    </row>
    <row r="731" spans="1:12" ht="15.75" customHeight="1">
      <c r="A731" s="14" t="s">
        <v>339</v>
      </c>
      <c r="B731" s="13"/>
      <c r="C731" s="25"/>
      <c r="D731" s="12"/>
      <c r="E731" s="12"/>
      <c r="F731" s="12"/>
      <c r="G731" s="13"/>
      <c r="H731" s="25"/>
      <c r="I731" s="12"/>
      <c r="J731" s="12"/>
      <c r="K731" s="12"/>
      <c r="L731" s="12"/>
    </row>
    <row r="732" spans="1:12" ht="15.75" customHeight="1">
      <c r="A732" s="76" t="s">
        <v>340</v>
      </c>
      <c r="B732" s="13"/>
      <c r="C732" s="25"/>
      <c r="D732" s="12"/>
      <c r="E732" s="12"/>
      <c r="F732" s="12"/>
      <c r="H732" s="25"/>
      <c r="I732" s="12"/>
      <c r="J732" s="12"/>
      <c r="K732" s="12"/>
      <c r="L732" s="12"/>
    </row>
    <row r="733" spans="1:12" ht="6" customHeight="1">
      <c r="A733" s="1"/>
      <c r="B733" s="1"/>
      <c r="C733" s="1"/>
      <c r="D733" s="1"/>
      <c r="E733" s="1"/>
      <c r="F733" s="1"/>
      <c r="G733" s="13"/>
      <c r="H733" s="1"/>
      <c r="I733" s="1"/>
      <c r="J733" s="1"/>
      <c r="K733" s="1"/>
      <c r="L733" s="1"/>
    </row>
    <row r="734" spans="1:12" ht="6" customHeight="1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</row>
    <row r="735" ht="6" customHeight="1"/>
  </sheetData>
  <sheetProtection password="DD5B" sheet="1" objects="1" scenarios="1"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7"/>
  <sheetViews>
    <sheetView view="pageBreakPreview" zoomScale="145" zoomScaleSheetLayoutView="145" workbookViewId="0" topLeftCell="A1">
      <selection activeCell="A1" sqref="A1"/>
    </sheetView>
  </sheetViews>
  <sheetFormatPr defaultColWidth="9.140625" defaultRowHeight="15.75" customHeight="1"/>
  <cols>
    <col min="1" max="1" width="9.140625" style="1" customWidth="1"/>
    <col min="2" max="2" width="9.00390625" style="1" customWidth="1"/>
    <col min="3" max="9" width="9.140625" style="1" customWidth="1"/>
    <col min="10" max="10" width="9.7109375" style="1" customWidth="1"/>
    <col min="11" max="16384" width="9.140625" style="1" customWidth="1"/>
  </cols>
  <sheetData>
    <row r="1" ht="15.75" customHeight="1">
      <c r="A1" s="85" t="s">
        <v>1299</v>
      </c>
    </row>
    <row r="2" ht="6" customHeight="1"/>
    <row r="3" ht="15.75" customHeight="1">
      <c r="A3" s="5" t="s">
        <v>112</v>
      </c>
    </row>
    <row r="4" ht="6" customHeight="1"/>
    <row r="5" spans="1:9" ht="15.75" customHeight="1">
      <c r="A5" s="2" t="s">
        <v>698</v>
      </c>
      <c r="B5" s="1">
        <v>8825</v>
      </c>
      <c r="C5" s="28" t="s">
        <v>713</v>
      </c>
      <c r="D5" s="1" t="s">
        <v>1016</v>
      </c>
      <c r="E5" s="3">
        <v>18</v>
      </c>
      <c r="F5" s="4" t="s">
        <v>699</v>
      </c>
      <c r="G5" s="1" t="s">
        <v>1017</v>
      </c>
      <c r="H5" s="1">
        <v>9.806</v>
      </c>
      <c r="I5" s="28" t="s">
        <v>1018</v>
      </c>
    </row>
    <row r="6" spans="1:7" ht="15.75" customHeight="1">
      <c r="A6" s="1" t="s">
        <v>702</v>
      </c>
      <c r="B6" s="3">
        <v>0.3</v>
      </c>
      <c r="C6" s="4" t="s">
        <v>699</v>
      </c>
      <c r="D6" s="1" t="s">
        <v>1019</v>
      </c>
      <c r="E6" s="3">
        <v>16</v>
      </c>
      <c r="F6" s="4" t="s">
        <v>699</v>
      </c>
      <c r="G6" s="21" t="s">
        <v>1020</v>
      </c>
    </row>
    <row r="7" spans="2:6" ht="6" customHeight="1">
      <c r="B7" s="3"/>
      <c r="C7" s="4"/>
      <c r="E7" s="3"/>
      <c r="F7" s="4"/>
    </row>
    <row r="8" spans="1:6" ht="15.75" customHeight="1">
      <c r="A8" s="135" t="s">
        <v>2372</v>
      </c>
      <c r="B8" s="3"/>
      <c r="C8" s="4"/>
      <c r="E8" s="3"/>
      <c r="F8" s="4"/>
    </row>
    <row r="9" spans="2:6" ht="6" customHeight="1">
      <c r="B9" s="3"/>
      <c r="C9" s="4"/>
      <c r="E9" s="3"/>
      <c r="F9" s="4"/>
    </row>
    <row r="10" spans="1:6" ht="15.75" customHeight="1">
      <c r="A10" s="5" t="s">
        <v>113</v>
      </c>
      <c r="B10" s="3"/>
      <c r="C10" s="4"/>
      <c r="E10" s="3"/>
      <c r="F10" s="4"/>
    </row>
    <row r="11" spans="1:6" ht="6" customHeight="1">
      <c r="A11" s="4"/>
      <c r="B11" s="3"/>
      <c r="C11" s="4"/>
      <c r="E11" s="3"/>
      <c r="F11" s="4"/>
    </row>
    <row r="12" spans="1:6" ht="15.75" customHeight="1">
      <c r="A12" s="4" t="s">
        <v>341</v>
      </c>
      <c r="B12" s="3"/>
      <c r="C12" s="4"/>
      <c r="E12" s="3"/>
      <c r="F12" s="4"/>
    </row>
    <row r="13" spans="1:6" ht="15.75" customHeight="1">
      <c r="A13" s="4" t="s">
        <v>2601</v>
      </c>
      <c r="B13" s="3"/>
      <c r="C13" s="4"/>
      <c r="E13" s="3"/>
      <c r="F13" s="4"/>
    </row>
    <row r="14" spans="1:6" ht="15.75" customHeight="1">
      <c r="A14" s="4" t="s">
        <v>342</v>
      </c>
      <c r="B14" s="3"/>
      <c r="C14" s="4"/>
      <c r="E14" s="3"/>
      <c r="F14" s="4"/>
    </row>
    <row r="15" spans="1:6" ht="15.75" customHeight="1">
      <c r="A15" s="4" t="s">
        <v>2621</v>
      </c>
      <c r="B15" s="3"/>
      <c r="C15" s="4"/>
      <c r="E15" s="3"/>
      <c r="F15" s="4"/>
    </row>
    <row r="16" spans="1:6" ht="15.75" customHeight="1">
      <c r="A16" s="4" t="s">
        <v>2602</v>
      </c>
      <c r="B16" s="3"/>
      <c r="C16" s="4"/>
      <c r="E16" s="3"/>
      <c r="F16" s="4"/>
    </row>
    <row r="17" spans="1:6" ht="15.75" customHeight="1">
      <c r="A17" s="4" t="s">
        <v>2603</v>
      </c>
      <c r="B17" s="3"/>
      <c r="C17" s="4"/>
      <c r="E17" s="3"/>
      <c r="F17" s="4"/>
    </row>
    <row r="18" spans="1:6" ht="15.75" customHeight="1">
      <c r="A18" s="4" t="s">
        <v>2604</v>
      </c>
      <c r="B18" s="3"/>
      <c r="C18" s="4"/>
      <c r="E18" s="3"/>
      <c r="F18" s="4"/>
    </row>
    <row r="19" spans="1:6" ht="15.75" customHeight="1">
      <c r="A19" s="4" t="s">
        <v>2599</v>
      </c>
      <c r="B19" s="3"/>
      <c r="C19" s="4"/>
      <c r="E19" s="3"/>
      <c r="F19" s="4"/>
    </row>
    <row r="20" spans="1:6" ht="15.75" customHeight="1">
      <c r="A20" s="4" t="s">
        <v>2600</v>
      </c>
      <c r="B20" s="3"/>
      <c r="C20" s="4"/>
      <c r="E20" s="3"/>
      <c r="F20" s="4"/>
    </row>
    <row r="21" spans="1:6" ht="15.75" customHeight="1">
      <c r="A21" s="4" t="s">
        <v>384</v>
      </c>
      <c r="B21" s="3"/>
      <c r="C21" s="4"/>
      <c r="E21" s="3"/>
      <c r="F21" s="4"/>
    </row>
    <row r="22" spans="1:6" ht="15.75" customHeight="1">
      <c r="A22" s="4" t="s">
        <v>385</v>
      </c>
      <c r="B22" s="3"/>
      <c r="C22" s="4"/>
      <c r="E22" s="3"/>
      <c r="F22" s="4"/>
    </row>
    <row r="23" spans="1:6" ht="15.75" customHeight="1">
      <c r="A23" s="4" t="s">
        <v>386</v>
      </c>
      <c r="B23" s="3"/>
      <c r="C23" s="4"/>
      <c r="E23" s="3"/>
      <c r="F23" s="4"/>
    </row>
    <row r="24" spans="1:6" ht="6" customHeight="1">
      <c r="A24" s="4"/>
      <c r="B24" s="3"/>
      <c r="C24" s="4"/>
      <c r="E24" s="3"/>
      <c r="F24" s="4"/>
    </row>
    <row r="25" spans="1:6" ht="15.75" customHeight="1">
      <c r="A25" s="4" t="s">
        <v>343</v>
      </c>
      <c r="B25" s="3"/>
      <c r="C25" s="4"/>
      <c r="E25" s="3"/>
      <c r="F25" s="4"/>
    </row>
    <row r="26" spans="1:6" ht="5.25" customHeight="1">
      <c r="A26" s="4"/>
      <c r="B26" s="3"/>
      <c r="C26" s="4"/>
      <c r="E26" s="3"/>
      <c r="F26" s="4"/>
    </row>
    <row r="27" spans="1:6" ht="15.75" customHeight="1">
      <c r="A27" s="4"/>
      <c r="B27" s="120" t="s">
        <v>2605</v>
      </c>
      <c r="D27" s="1" t="s">
        <v>222</v>
      </c>
      <c r="E27" s="120" t="s">
        <v>2606</v>
      </c>
      <c r="F27" s="4"/>
    </row>
    <row r="28" spans="1:6" ht="15.75" customHeight="1">
      <c r="A28" s="4"/>
      <c r="B28" s="3"/>
      <c r="C28" s="120"/>
      <c r="E28" s="120" t="s">
        <v>2607</v>
      </c>
      <c r="F28" s="4"/>
    </row>
    <row r="29" spans="1:6" ht="5.25" customHeight="1">
      <c r="A29" s="4"/>
      <c r="B29" s="3"/>
      <c r="C29" s="4"/>
      <c r="E29" s="3"/>
      <c r="F29" s="4"/>
    </row>
    <row r="30" spans="1:6" ht="15.75" customHeight="1">
      <c r="A30" s="4" t="s">
        <v>2608</v>
      </c>
      <c r="B30" s="3"/>
      <c r="C30" s="4"/>
      <c r="E30" s="3"/>
      <c r="F30" s="4"/>
    </row>
    <row r="31" spans="1:6" ht="6" customHeight="1">
      <c r="A31" s="4"/>
      <c r="B31" s="3"/>
      <c r="C31" s="4"/>
      <c r="E31" s="3"/>
      <c r="F31" s="4"/>
    </row>
    <row r="32" spans="1:9" ht="15.75" customHeight="1">
      <c r="A32" s="1" t="s">
        <v>2609</v>
      </c>
      <c r="B32" s="6">
        <v>0</v>
      </c>
      <c r="C32" s="4" t="s">
        <v>700</v>
      </c>
      <c r="F32" s="1" t="s">
        <v>2610</v>
      </c>
      <c r="G32" s="3">
        <v>0</v>
      </c>
      <c r="H32" s="4" t="s">
        <v>2381</v>
      </c>
      <c r="I32" s="1" t="s">
        <v>2611</v>
      </c>
    </row>
    <row r="33" spans="1:6" ht="6" customHeight="1">
      <c r="A33" s="4"/>
      <c r="B33" s="3"/>
      <c r="C33" s="4"/>
      <c r="E33" s="3"/>
      <c r="F33" s="4"/>
    </row>
    <row r="34" spans="1:6" ht="15.75" customHeight="1">
      <c r="A34" s="120" t="s">
        <v>2612</v>
      </c>
      <c r="B34" s="3"/>
      <c r="C34" s="4" t="s">
        <v>2613</v>
      </c>
      <c r="E34" s="3"/>
      <c r="F34" s="4"/>
    </row>
    <row r="35" spans="1:6" ht="15.75" customHeight="1">
      <c r="A35" s="4"/>
      <c r="B35" s="3"/>
      <c r="C35" s="4" t="s">
        <v>2614</v>
      </c>
      <c r="E35" s="3"/>
      <c r="F35" s="4"/>
    </row>
    <row r="36" spans="3:6" ht="15.75" customHeight="1">
      <c r="C36" s="4" t="s">
        <v>344</v>
      </c>
      <c r="F36" s="4"/>
    </row>
    <row r="37" spans="3:6" ht="6" customHeight="1">
      <c r="C37" s="4"/>
      <c r="F37" s="4"/>
    </row>
    <row r="38" spans="1:6" ht="15.75" customHeight="1">
      <c r="A38" s="120" t="s">
        <v>2615</v>
      </c>
      <c r="B38" s="3"/>
      <c r="C38" s="4"/>
      <c r="D38" s="4" t="s">
        <v>1755</v>
      </c>
      <c r="F38" s="222" t="s">
        <v>371</v>
      </c>
    </row>
    <row r="39" spans="1:10" ht="6.75" customHeight="1">
      <c r="A39" s="120"/>
      <c r="B39" s="3"/>
      <c r="C39" s="4"/>
      <c r="D39" s="4"/>
      <c r="F39" s="4"/>
      <c r="G39" s="14"/>
      <c r="H39" s="120"/>
      <c r="I39" s="3"/>
      <c r="J39" s="28"/>
    </row>
    <row r="40" spans="6:10" ht="15.75" customHeight="1">
      <c r="F40" s="4" t="s">
        <v>153</v>
      </c>
      <c r="G40" s="14" t="s">
        <v>2618</v>
      </c>
      <c r="H40" s="120"/>
      <c r="I40" s="3">
        <f>+PI()*(B6^2)/4</f>
        <v>0.07068583470577035</v>
      </c>
      <c r="J40" s="28" t="s">
        <v>108</v>
      </c>
    </row>
    <row r="41" spans="1:6" ht="6.75" customHeight="1">
      <c r="A41" s="120"/>
      <c r="B41" s="3"/>
      <c r="C41" s="4"/>
      <c r="D41" s="4"/>
      <c r="F41" s="4"/>
    </row>
    <row r="42" spans="1:6" ht="15.75" customHeight="1">
      <c r="A42" s="120" t="s">
        <v>2616</v>
      </c>
      <c r="B42" s="3"/>
      <c r="C42" s="4"/>
      <c r="D42" s="4"/>
      <c r="F42" s="4"/>
    </row>
    <row r="43" spans="1:6" ht="6.75" customHeight="1">
      <c r="A43" s="120"/>
      <c r="B43" s="3"/>
      <c r="C43" s="4"/>
      <c r="D43" s="4"/>
      <c r="F43" s="4"/>
    </row>
    <row r="44" spans="1:6" ht="15.75" customHeight="1">
      <c r="A44" s="120"/>
      <c r="B44" s="3"/>
      <c r="C44" s="120" t="s">
        <v>2617</v>
      </c>
      <c r="D44" s="4"/>
      <c r="F44" s="4"/>
    </row>
    <row r="45" spans="1:6" ht="6.75" customHeight="1">
      <c r="A45" s="120"/>
      <c r="B45" s="3"/>
      <c r="C45" s="4"/>
      <c r="D45" s="4"/>
      <c r="F45" s="4"/>
    </row>
    <row r="46" spans="1:6" ht="15.75" customHeight="1">
      <c r="A46" s="120" t="s">
        <v>2619</v>
      </c>
      <c r="B46" s="3"/>
      <c r="C46" s="4"/>
      <c r="D46" s="4"/>
      <c r="F46" s="4"/>
    </row>
    <row r="47" spans="3:6" ht="6.75" customHeight="1">
      <c r="C47" s="4"/>
      <c r="F47" s="4"/>
    </row>
    <row r="48" spans="1:7" ht="15.75" customHeight="1">
      <c r="A48" s="161" t="s">
        <v>2620</v>
      </c>
      <c r="B48" s="10"/>
      <c r="C48" s="74"/>
      <c r="D48" s="8">
        <f>+I40*SQRT(2*H5*(E5-E6))</f>
        <v>0.4426987858952084</v>
      </c>
      <c r="E48" s="9" t="s">
        <v>2374</v>
      </c>
      <c r="G48" s="12"/>
    </row>
    <row r="49" spans="1:5" s="12" customFormat="1" ht="6" customHeight="1">
      <c r="A49" s="69"/>
      <c r="C49" s="28"/>
      <c r="D49" s="15"/>
      <c r="E49" s="14"/>
    </row>
    <row r="50" spans="1:5" s="12" customFormat="1" ht="15.75" customHeight="1">
      <c r="A50" s="69" t="s">
        <v>493</v>
      </c>
      <c r="C50" s="28"/>
      <c r="D50" s="15"/>
      <c r="E50" s="14"/>
    </row>
    <row r="51" spans="1:5" s="12" customFormat="1" ht="15.75" customHeight="1">
      <c r="A51" s="69" t="s">
        <v>494</v>
      </c>
      <c r="C51" s="28"/>
      <c r="D51" s="15"/>
      <c r="E51" s="14"/>
    </row>
    <row r="52" spans="1:9" ht="6.75" customHeight="1">
      <c r="A52" s="69"/>
      <c r="B52" s="12"/>
      <c r="C52" s="28"/>
      <c r="D52" s="15"/>
      <c r="E52" s="14"/>
      <c r="F52" s="12"/>
      <c r="G52" s="12"/>
      <c r="H52" s="12"/>
      <c r="I52" s="12"/>
    </row>
    <row r="53" spans="1:9" ht="15.75" customHeight="1">
      <c r="A53" s="4" t="s">
        <v>2622</v>
      </c>
      <c r="B53" s="3"/>
      <c r="C53" s="4"/>
      <c r="E53" s="3"/>
      <c r="F53" s="4"/>
      <c r="H53" s="12"/>
      <c r="I53" s="12"/>
    </row>
    <row r="54" spans="1:9" ht="15.75" customHeight="1">
      <c r="A54" s="4" t="s">
        <v>2623</v>
      </c>
      <c r="B54" s="3"/>
      <c r="C54" s="4"/>
      <c r="E54" s="3"/>
      <c r="F54" s="4"/>
      <c r="H54" s="12"/>
      <c r="I54" s="12"/>
    </row>
    <row r="55" spans="1:9" ht="15.75" customHeight="1">
      <c r="A55" s="4" t="s">
        <v>2624</v>
      </c>
      <c r="B55" s="3"/>
      <c r="C55" s="4"/>
      <c r="E55" s="3"/>
      <c r="F55" s="4"/>
      <c r="H55" s="12"/>
      <c r="I55" s="12"/>
    </row>
    <row r="56" spans="1:9" ht="15.75" customHeight="1">
      <c r="A56" s="4" t="s">
        <v>2625</v>
      </c>
      <c r="B56" s="3"/>
      <c r="C56" s="4"/>
      <c r="E56" s="3"/>
      <c r="F56" s="4"/>
      <c r="H56" s="12"/>
      <c r="I56" s="12"/>
    </row>
    <row r="57" spans="1:9" ht="15.75" customHeight="1">
      <c r="A57" s="4" t="s">
        <v>2626</v>
      </c>
      <c r="B57" s="3"/>
      <c r="C57" s="4"/>
      <c r="E57" s="3"/>
      <c r="F57" s="4"/>
      <c r="H57" s="12"/>
      <c r="I57" s="12"/>
    </row>
    <row r="58" spans="1:9" ht="15.75" customHeight="1">
      <c r="A58" s="4" t="s">
        <v>2627</v>
      </c>
      <c r="B58" s="3"/>
      <c r="C58" s="4"/>
      <c r="E58" s="3"/>
      <c r="F58" s="4"/>
      <c r="H58" s="12"/>
      <c r="I58" s="12"/>
    </row>
    <row r="59" spans="1:9" ht="6.75" customHeight="1">
      <c r="A59" s="4"/>
      <c r="B59" s="3"/>
      <c r="C59" s="4"/>
      <c r="E59" s="3"/>
      <c r="F59" s="4"/>
      <c r="H59" s="12"/>
      <c r="I59" s="12"/>
    </row>
    <row r="60" spans="1:9" ht="15.75" customHeight="1">
      <c r="A60" s="4" t="s">
        <v>2628</v>
      </c>
      <c r="B60" s="3"/>
      <c r="C60" s="4"/>
      <c r="E60" s="3" t="s">
        <v>2629</v>
      </c>
      <c r="F60" s="1" t="s">
        <v>345</v>
      </c>
      <c r="G60" s="3">
        <v>0</v>
      </c>
      <c r="H60" s="4" t="s">
        <v>2381</v>
      </c>
      <c r="I60" s="1" t="s">
        <v>2611</v>
      </c>
    </row>
    <row r="61" spans="1:9" ht="6.75" customHeight="1">
      <c r="A61" s="4"/>
      <c r="B61" s="3"/>
      <c r="C61" s="4"/>
      <c r="E61" s="3"/>
      <c r="F61" s="4"/>
      <c r="H61" s="12"/>
      <c r="I61" s="12"/>
    </row>
    <row r="62" spans="1:9" ht="15.75" customHeight="1">
      <c r="A62" s="4"/>
      <c r="B62" s="3"/>
      <c r="C62" s="4"/>
      <c r="E62" s="3" t="s">
        <v>2630</v>
      </c>
      <c r="F62" s="4" t="s">
        <v>2631</v>
      </c>
      <c r="I62" s="12" t="s">
        <v>2632</v>
      </c>
    </row>
    <row r="63" spans="1:9" ht="6.75" customHeight="1">
      <c r="A63" s="4"/>
      <c r="B63" s="3"/>
      <c r="C63" s="4"/>
      <c r="E63" s="3"/>
      <c r="F63" s="4"/>
      <c r="H63" s="12"/>
      <c r="I63" s="12"/>
    </row>
    <row r="64" spans="1:9" ht="15.75" customHeight="1">
      <c r="A64" s="4" t="s">
        <v>2214</v>
      </c>
      <c r="B64" s="4" t="s">
        <v>2633</v>
      </c>
      <c r="C64" s="4"/>
      <c r="E64" s="3" t="s">
        <v>1286</v>
      </c>
      <c r="F64" s="4"/>
      <c r="H64" s="12"/>
      <c r="I64" s="12"/>
    </row>
    <row r="65" spans="1:9" ht="6" customHeight="1">
      <c r="A65" s="4"/>
      <c r="B65" s="4"/>
      <c r="C65" s="4"/>
      <c r="E65" s="3"/>
      <c r="F65" s="4"/>
      <c r="H65" s="12"/>
      <c r="I65" s="12"/>
    </row>
    <row r="66" spans="1:9" ht="15.75" customHeight="1">
      <c r="A66" s="4" t="s">
        <v>1746</v>
      </c>
      <c r="B66" s="4"/>
      <c r="C66" s="4"/>
      <c r="E66" s="3"/>
      <c r="F66" s="4"/>
      <c r="H66" s="12"/>
      <c r="I66" s="12"/>
    </row>
    <row r="67" spans="1:9" ht="6" customHeight="1">
      <c r="A67" s="4"/>
      <c r="B67" s="4"/>
      <c r="C67" s="4"/>
      <c r="E67" s="3"/>
      <c r="F67" s="4"/>
      <c r="H67" s="12"/>
      <c r="I67" s="12"/>
    </row>
    <row r="68" spans="1:8" ht="15.75" customHeight="1">
      <c r="A68" s="4" t="s">
        <v>1747</v>
      </c>
      <c r="B68" s="3"/>
      <c r="C68" s="4"/>
      <c r="E68" s="1" t="s">
        <v>2629</v>
      </c>
      <c r="F68" s="120" t="s">
        <v>1748</v>
      </c>
      <c r="H68" s="4"/>
    </row>
    <row r="69" spans="1:9" ht="6.75" customHeight="1">
      <c r="A69" s="4"/>
      <c r="B69" s="3"/>
      <c r="C69" s="4"/>
      <c r="E69" s="3"/>
      <c r="F69" s="4"/>
      <c r="H69" s="12"/>
      <c r="I69" s="12"/>
    </row>
    <row r="70" spans="2:6" ht="15.75" customHeight="1">
      <c r="B70" s="3"/>
      <c r="E70" s="3"/>
      <c r="F70" s="4" t="s">
        <v>1749</v>
      </c>
    </row>
    <row r="71" spans="1:6" ht="15.75" customHeight="1">
      <c r="A71" s="4"/>
      <c r="B71" s="3"/>
      <c r="E71" s="3"/>
      <c r="F71" s="4" t="s">
        <v>1750</v>
      </c>
    </row>
    <row r="72" ht="15.75" customHeight="1">
      <c r="F72" s="4" t="s">
        <v>1751</v>
      </c>
    </row>
    <row r="73" ht="15.75" customHeight="1">
      <c r="F73" s="4" t="s">
        <v>1752</v>
      </c>
    </row>
    <row r="74" spans="1:10" ht="15.75" customHeight="1">
      <c r="A74" s="120"/>
      <c r="B74" s="3"/>
      <c r="D74" s="4"/>
      <c r="F74" s="4" t="s">
        <v>1753</v>
      </c>
      <c r="G74" s="14"/>
      <c r="H74" s="120"/>
      <c r="I74" s="3"/>
      <c r="J74" s="28"/>
    </row>
    <row r="75" spans="1:10" ht="6" customHeight="1">
      <c r="A75" s="120"/>
      <c r="B75" s="3"/>
      <c r="D75" s="4"/>
      <c r="F75" s="4"/>
      <c r="G75" s="14"/>
      <c r="H75" s="120"/>
      <c r="I75" s="3"/>
      <c r="J75" s="28"/>
    </row>
    <row r="76" spans="1:10" ht="15.75" customHeight="1">
      <c r="A76" s="120" t="s">
        <v>2150</v>
      </c>
      <c r="B76" s="3"/>
      <c r="D76" s="4"/>
      <c r="F76" s="4"/>
      <c r="G76" s="14"/>
      <c r="H76" s="120"/>
      <c r="I76" s="3"/>
      <c r="J76" s="28"/>
    </row>
    <row r="77" spans="1:9" ht="6.75" customHeight="1">
      <c r="A77" s="4"/>
      <c r="B77" s="4"/>
      <c r="C77" s="4"/>
      <c r="E77" s="3"/>
      <c r="F77" s="4"/>
      <c r="H77" s="12"/>
      <c r="I77" s="12"/>
    </row>
    <row r="78" spans="1:10" ht="15.75" customHeight="1">
      <c r="A78" s="120" t="s">
        <v>1754</v>
      </c>
      <c r="B78" s="3"/>
      <c r="C78" s="4"/>
      <c r="D78" s="4" t="s">
        <v>1755</v>
      </c>
      <c r="F78" s="222" t="s">
        <v>371</v>
      </c>
      <c r="G78" s="14"/>
      <c r="H78" s="120"/>
      <c r="I78" s="3"/>
      <c r="J78" s="28"/>
    </row>
    <row r="79" spans="2:9" ht="6" customHeight="1">
      <c r="B79" s="3"/>
      <c r="C79" s="4"/>
      <c r="E79" s="3"/>
      <c r="F79" s="4"/>
      <c r="H79" s="12"/>
      <c r="I79" s="12"/>
    </row>
    <row r="80" ht="15.75" customHeight="1">
      <c r="A80" s="4" t="s">
        <v>867</v>
      </c>
    </row>
    <row r="81" ht="6" customHeight="1"/>
    <row r="82" spans="1:8" ht="15.75" customHeight="1">
      <c r="A82" s="4" t="s">
        <v>1756</v>
      </c>
      <c r="E82" s="3" t="s">
        <v>1286</v>
      </c>
      <c r="H82" s="12"/>
    </row>
    <row r="83" spans="8:9" ht="6" customHeight="1">
      <c r="H83" s="12"/>
      <c r="I83" s="12"/>
    </row>
    <row r="84" spans="1:9" ht="15.75" customHeight="1">
      <c r="A84" s="4" t="s">
        <v>492</v>
      </c>
      <c r="D84" s="120" t="s">
        <v>491</v>
      </c>
      <c r="H84" s="12"/>
      <c r="I84" s="12"/>
    </row>
    <row r="85" spans="1:9" ht="6.75" customHeight="1">
      <c r="A85" s="4"/>
      <c r="D85" s="120"/>
      <c r="H85" s="12"/>
      <c r="I85" s="12"/>
    </row>
    <row r="86" spans="1:9" ht="15.75" customHeight="1">
      <c r="A86" s="4" t="s">
        <v>1757</v>
      </c>
      <c r="H86" s="12"/>
      <c r="I86" s="12"/>
    </row>
    <row r="87" spans="1:9" ht="15.75" customHeight="1">
      <c r="A87" s="4" t="s">
        <v>346</v>
      </c>
      <c r="H87" s="12"/>
      <c r="I87" s="12"/>
    </row>
    <row r="88" spans="1:9" ht="15.75" customHeight="1">
      <c r="A88" s="4" t="s">
        <v>490</v>
      </c>
      <c r="B88" s="3"/>
      <c r="C88" s="4"/>
      <c r="E88" s="3"/>
      <c r="F88" s="4"/>
      <c r="H88" s="12"/>
      <c r="I88" s="12"/>
    </row>
    <row r="89" spans="1:9" ht="15.75" customHeight="1">
      <c r="A89" s="4" t="s">
        <v>1758</v>
      </c>
      <c r="B89" s="3"/>
      <c r="C89" s="4"/>
      <c r="E89" s="3"/>
      <c r="F89" s="4"/>
      <c r="H89" s="12"/>
      <c r="I89" s="12"/>
    </row>
    <row r="90" spans="3:6" ht="6" customHeight="1">
      <c r="C90" s="4"/>
      <c r="F90" s="4"/>
    </row>
    <row r="91" spans="1:10" ht="6" customHeight="1">
      <c r="A91" s="87"/>
      <c r="B91" s="87"/>
      <c r="C91" s="88"/>
      <c r="D91" s="87"/>
      <c r="E91" s="87"/>
      <c r="F91" s="88"/>
      <c r="G91" s="87"/>
      <c r="H91" s="87"/>
      <c r="I91" s="87"/>
      <c r="J91" s="87"/>
    </row>
    <row r="92" spans="3:6" ht="6" customHeight="1">
      <c r="C92" s="4"/>
      <c r="F92" s="4"/>
    </row>
    <row r="93" spans="1:6" ht="15.75" customHeight="1">
      <c r="A93" s="85" t="s">
        <v>2375</v>
      </c>
      <c r="C93" s="4"/>
      <c r="F93" s="4"/>
    </row>
    <row r="94" spans="3:6" ht="6" customHeight="1">
      <c r="C94" s="4"/>
      <c r="F94" s="4"/>
    </row>
    <row r="95" ht="15.75" customHeight="1">
      <c r="A95" s="5" t="s">
        <v>112</v>
      </c>
    </row>
    <row r="96" spans="1:9" ht="6" customHeight="1">
      <c r="A96" s="5"/>
      <c r="C96" s="28"/>
      <c r="E96" s="3"/>
      <c r="F96" s="4"/>
      <c r="I96" s="28"/>
    </row>
    <row r="97" spans="1:9" ht="15.75" customHeight="1">
      <c r="A97" s="2" t="s">
        <v>698</v>
      </c>
      <c r="B97" s="1">
        <v>7752</v>
      </c>
      <c r="C97" s="28" t="s">
        <v>713</v>
      </c>
      <c r="D97" s="1" t="s">
        <v>1016</v>
      </c>
      <c r="E97" s="3">
        <v>50</v>
      </c>
      <c r="F97" s="4" t="s">
        <v>699</v>
      </c>
      <c r="G97" s="1" t="s">
        <v>1017</v>
      </c>
      <c r="H97" s="1">
        <v>9.806</v>
      </c>
      <c r="I97" s="28" t="s">
        <v>1018</v>
      </c>
    </row>
    <row r="98" spans="1:9" ht="15.75" customHeight="1">
      <c r="A98" s="1" t="s">
        <v>702</v>
      </c>
      <c r="B98" s="3">
        <v>0.6</v>
      </c>
      <c r="C98" s="4" t="s">
        <v>699</v>
      </c>
      <c r="D98" s="1" t="s">
        <v>2376</v>
      </c>
      <c r="E98" s="3">
        <v>45</v>
      </c>
      <c r="F98" s="4" t="s">
        <v>699</v>
      </c>
      <c r="G98" s="2" t="s">
        <v>705</v>
      </c>
      <c r="H98" s="6">
        <v>45</v>
      </c>
      <c r="I98" s="4" t="s">
        <v>706</v>
      </c>
    </row>
    <row r="99" spans="1:9" ht="15.75" customHeight="1">
      <c r="A99" s="21" t="s">
        <v>2377</v>
      </c>
      <c r="B99" s="3"/>
      <c r="C99" s="4"/>
      <c r="E99" s="3"/>
      <c r="F99" s="4"/>
      <c r="G99" s="2"/>
      <c r="H99" s="6"/>
      <c r="I99" s="4"/>
    </row>
    <row r="100" spans="2:9" ht="6" customHeight="1">
      <c r="B100" s="3"/>
      <c r="C100" s="4"/>
      <c r="E100" s="3"/>
      <c r="F100" s="4"/>
      <c r="G100" s="2"/>
      <c r="H100" s="6"/>
      <c r="I100" s="4"/>
    </row>
    <row r="101" spans="1:6" ht="15.75" customHeight="1">
      <c r="A101" s="135" t="s">
        <v>2378</v>
      </c>
      <c r="B101" s="3"/>
      <c r="C101" s="4"/>
      <c r="E101" s="3"/>
      <c r="F101" s="4"/>
    </row>
    <row r="102" spans="1:9" ht="15.75" customHeight="1">
      <c r="A102" s="120" t="s">
        <v>2379</v>
      </c>
      <c r="B102" s="3"/>
      <c r="C102" s="4"/>
      <c r="E102" s="3"/>
      <c r="F102" s="4"/>
      <c r="G102" s="2"/>
      <c r="H102" s="6"/>
      <c r="I102" s="4"/>
    </row>
    <row r="103" spans="1:9" ht="6" customHeight="1">
      <c r="A103" s="120"/>
      <c r="B103" s="3"/>
      <c r="C103" s="4"/>
      <c r="E103" s="3"/>
      <c r="F103" s="4"/>
      <c r="G103" s="2"/>
      <c r="H103" s="6"/>
      <c r="I103" s="4"/>
    </row>
    <row r="104" spans="1:9" ht="15.75" customHeight="1">
      <c r="A104" s="5" t="s">
        <v>113</v>
      </c>
      <c r="C104" s="4"/>
      <c r="F104" s="4"/>
      <c r="I104" s="4"/>
    </row>
    <row r="105" spans="1:9" ht="6" customHeight="1">
      <c r="A105" s="5"/>
      <c r="C105" s="4"/>
      <c r="F105" s="4"/>
      <c r="I105" s="4"/>
    </row>
    <row r="106" spans="1:9" ht="15.75" customHeight="1">
      <c r="A106" s="1" t="s">
        <v>2298</v>
      </c>
      <c r="B106" s="3">
        <f>+PI()*(B98^2)/4</f>
        <v>0.2827433388230814</v>
      </c>
      <c r="C106" s="28" t="s">
        <v>108</v>
      </c>
      <c r="D106" s="10" t="s">
        <v>2373</v>
      </c>
      <c r="E106" s="8">
        <f>+B106*SQRT(2*H97*(E97-E98))</f>
        <v>2.7998729616401636</v>
      </c>
      <c r="F106" s="9" t="s">
        <v>2374</v>
      </c>
      <c r="I106" s="4"/>
    </row>
    <row r="107" spans="3:9" ht="6" customHeight="1">
      <c r="C107" s="4"/>
      <c r="F107" s="4"/>
      <c r="I107" s="4"/>
    </row>
    <row r="108" spans="1:6" ht="15.75" customHeight="1">
      <c r="A108" s="1" t="s">
        <v>2380</v>
      </c>
      <c r="B108" s="3">
        <f>+E106/B106</f>
        <v>9.902524930541704</v>
      </c>
      <c r="C108" s="4" t="s">
        <v>2381</v>
      </c>
      <c r="D108" s="10" t="s">
        <v>2382</v>
      </c>
      <c r="E108" s="136">
        <f>+E97-B108^2/(2*H97)*(COS(RADIANS(H98)))^2</f>
        <v>47.5</v>
      </c>
      <c r="F108" s="9" t="s">
        <v>699</v>
      </c>
    </row>
    <row r="109" spans="2:9" ht="6" customHeight="1">
      <c r="B109" s="3"/>
      <c r="C109" s="4"/>
      <c r="D109" s="12"/>
      <c r="E109" s="15"/>
      <c r="F109" s="14"/>
      <c r="G109" s="12"/>
      <c r="H109" s="15"/>
      <c r="I109" s="14"/>
    </row>
    <row r="110" spans="2:9" ht="15.75" customHeight="1">
      <c r="B110" s="3"/>
      <c r="C110" s="4"/>
      <c r="D110" s="10" t="s">
        <v>2383</v>
      </c>
      <c r="E110" s="136">
        <f>+E97-B108^2/(2*H97)*(COS(RADIANS(90)))^2</f>
        <v>50</v>
      </c>
      <c r="F110" s="9" t="s">
        <v>699</v>
      </c>
      <c r="G110" s="12"/>
      <c r="H110" s="15"/>
      <c r="I110" s="14"/>
    </row>
    <row r="111" spans="2:9" ht="6" customHeight="1">
      <c r="B111" s="3"/>
      <c r="C111" s="4"/>
      <c r="D111" s="12"/>
      <c r="E111" s="130"/>
      <c r="F111" s="14"/>
      <c r="G111" s="12"/>
      <c r="H111" s="15"/>
      <c r="I111" s="14"/>
    </row>
    <row r="112" spans="1:10" ht="6" customHeight="1">
      <c r="A112" s="87"/>
      <c r="B112" s="91"/>
      <c r="C112" s="88"/>
      <c r="D112" s="87"/>
      <c r="E112" s="90"/>
      <c r="F112" s="88"/>
      <c r="G112" s="87"/>
      <c r="H112" s="91"/>
      <c r="I112" s="88"/>
      <c r="J112" s="87"/>
    </row>
    <row r="113" spans="1:10" ht="6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customHeight="1">
      <c r="A114" s="339" t="s">
        <v>2384</v>
      </c>
      <c r="B114" s="12"/>
      <c r="C114" s="12"/>
      <c r="D114" s="12"/>
      <c r="E114" s="12"/>
      <c r="F114" s="12"/>
      <c r="G114" s="12"/>
      <c r="H114" s="12"/>
      <c r="I114" s="12"/>
      <c r="J114" s="12"/>
    </row>
    <row r="115" ht="6" customHeight="1">
      <c r="A115" s="5"/>
    </row>
    <row r="116" ht="15.75" customHeight="1">
      <c r="A116" s="5" t="s">
        <v>112</v>
      </c>
    </row>
    <row r="117" ht="6" customHeight="1"/>
    <row r="118" spans="1:9" ht="15.75" customHeight="1">
      <c r="A118" s="2" t="s">
        <v>698</v>
      </c>
      <c r="B118" s="1">
        <v>9806</v>
      </c>
      <c r="C118" s="28" t="s">
        <v>713</v>
      </c>
      <c r="D118" s="1" t="s">
        <v>1016</v>
      </c>
      <c r="E118" s="3">
        <v>12</v>
      </c>
      <c r="F118" s="4" t="s">
        <v>699</v>
      </c>
      <c r="G118" s="1" t="s">
        <v>1017</v>
      </c>
      <c r="H118" s="1">
        <v>9.806</v>
      </c>
      <c r="I118" s="28" t="s">
        <v>1018</v>
      </c>
    </row>
    <row r="119" spans="1:9" ht="15.75" customHeight="1">
      <c r="A119" s="2" t="s">
        <v>2385</v>
      </c>
      <c r="B119" s="1">
        <v>133362</v>
      </c>
      <c r="C119" s="28" t="s">
        <v>713</v>
      </c>
      <c r="D119" s="1" t="s">
        <v>2515</v>
      </c>
      <c r="E119" s="3">
        <v>0.2</v>
      </c>
      <c r="F119" s="4" t="s">
        <v>699</v>
      </c>
      <c r="G119" s="21" t="s">
        <v>1020</v>
      </c>
      <c r="H119" s="3"/>
      <c r="I119" s="4"/>
    </row>
    <row r="120" spans="1:6" ht="15.75" customHeight="1">
      <c r="A120" s="2" t="s">
        <v>702</v>
      </c>
      <c r="B120" s="3">
        <v>0.15</v>
      </c>
      <c r="C120" s="4" t="s">
        <v>699</v>
      </c>
      <c r="D120" s="1" t="s">
        <v>2516</v>
      </c>
      <c r="E120" s="3">
        <v>0.1</v>
      </c>
      <c r="F120" s="4" t="s">
        <v>699</v>
      </c>
    </row>
    <row r="121" spans="1:6" ht="6" customHeight="1">
      <c r="A121" s="2"/>
      <c r="B121" s="3"/>
      <c r="C121" s="4"/>
      <c r="E121" s="3"/>
      <c r="F121" s="4"/>
    </row>
    <row r="122" spans="1:6" ht="15.75" customHeight="1">
      <c r="A122" s="135" t="s">
        <v>1261</v>
      </c>
      <c r="B122" s="3"/>
      <c r="C122" s="4"/>
      <c r="E122" s="3"/>
      <c r="F122" s="4"/>
    </row>
    <row r="123" spans="1:6" ht="15.75" customHeight="1">
      <c r="A123" s="120" t="s">
        <v>1262</v>
      </c>
      <c r="B123" s="3"/>
      <c r="C123" s="4"/>
      <c r="E123" s="3"/>
      <c r="F123" s="4"/>
    </row>
    <row r="124" spans="1:6" ht="6" customHeight="1">
      <c r="A124" s="120"/>
      <c r="B124" s="3"/>
      <c r="C124" s="4"/>
      <c r="E124" s="3"/>
      <c r="F124" s="4"/>
    </row>
    <row r="125" ht="15.75" customHeight="1">
      <c r="A125" s="5" t="s">
        <v>113</v>
      </c>
    </row>
    <row r="126" ht="6" customHeight="1">
      <c r="A126" s="5"/>
    </row>
    <row r="127" spans="1:6" ht="15.75" customHeight="1">
      <c r="A127" s="4" t="s">
        <v>1263</v>
      </c>
      <c r="B127" s="3"/>
      <c r="C127" s="4"/>
      <c r="E127" s="3"/>
      <c r="F127" s="4"/>
    </row>
    <row r="128" spans="1:6" ht="15.75" customHeight="1">
      <c r="A128" s="4" t="s">
        <v>1264</v>
      </c>
      <c r="B128" s="3"/>
      <c r="C128" s="4"/>
      <c r="E128" s="3"/>
      <c r="F128" s="4"/>
    </row>
    <row r="129" spans="1:6" ht="15.75" customHeight="1">
      <c r="A129" s="4" t="s">
        <v>364</v>
      </c>
      <c r="B129" s="3"/>
      <c r="C129" s="4"/>
      <c r="E129" s="3"/>
      <c r="F129" s="4"/>
    </row>
    <row r="130" spans="1:6" ht="15.75" customHeight="1">
      <c r="A130" s="4" t="s">
        <v>365</v>
      </c>
      <c r="B130" s="3"/>
      <c r="C130" s="4"/>
      <c r="E130" s="3"/>
      <c r="F130" s="4"/>
    </row>
    <row r="131" spans="1:6" ht="15.75" customHeight="1">
      <c r="A131" s="4" t="s">
        <v>2602</v>
      </c>
      <c r="B131" s="3"/>
      <c r="C131" s="4"/>
      <c r="E131" s="3"/>
      <c r="F131" s="4"/>
    </row>
    <row r="132" spans="1:6" ht="15.75" customHeight="1">
      <c r="A132" s="4" t="s">
        <v>2603</v>
      </c>
      <c r="B132" s="3"/>
      <c r="C132" s="4"/>
      <c r="E132" s="3"/>
      <c r="F132" s="4"/>
    </row>
    <row r="133" spans="1:6" ht="15.75" customHeight="1">
      <c r="A133" s="4" t="s">
        <v>366</v>
      </c>
      <c r="B133" s="3"/>
      <c r="C133" s="4"/>
      <c r="E133" s="3"/>
      <c r="F133" s="4"/>
    </row>
    <row r="134" spans="1:6" ht="15.75" customHeight="1">
      <c r="A134" s="21" t="s">
        <v>367</v>
      </c>
      <c r="B134" s="3"/>
      <c r="C134" s="4"/>
      <c r="E134" s="3"/>
      <c r="F134" s="4"/>
    </row>
    <row r="135" spans="1:6" ht="15.75" customHeight="1">
      <c r="A135" s="4" t="s">
        <v>347</v>
      </c>
      <c r="B135" s="3"/>
      <c r="C135" s="4"/>
      <c r="E135" s="3"/>
      <c r="F135" s="4"/>
    </row>
    <row r="136" spans="1:6" ht="15.75" customHeight="1">
      <c r="A136" s="4" t="s">
        <v>348</v>
      </c>
      <c r="B136" s="3"/>
      <c r="C136" s="4"/>
      <c r="E136" s="3"/>
      <c r="F136" s="4"/>
    </row>
    <row r="137" spans="2:6" ht="6.75" customHeight="1">
      <c r="B137" s="3"/>
      <c r="C137" s="4"/>
      <c r="E137" s="3"/>
      <c r="F137" s="4"/>
    </row>
    <row r="138" spans="1:6" ht="15.75" customHeight="1">
      <c r="A138" s="120" t="s">
        <v>368</v>
      </c>
      <c r="B138" s="3"/>
      <c r="C138" s="4"/>
      <c r="D138" s="4" t="s">
        <v>369</v>
      </c>
      <c r="F138" s="222" t="s">
        <v>370</v>
      </c>
    </row>
    <row r="139" ht="6.75" customHeight="1"/>
    <row r="140" spans="1:6" ht="15.75" customHeight="1">
      <c r="A140" s="120" t="s">
        <v>372</v>
      </c>
      <c r="B140" s="3"/>
      <c r="C140" s="4"/>
      <c r="D140" s="4" t="s">
        <v>373</v>
      </c>
      <c r="F140" s="222" t="s">
        <v>374</v>
      </c>
    </row>
    <row r="141" ht="6.75" customHeight="1">
      <c r="A141" s="5"/>
    </row>
    <row r="142" spans="1:10" ht="15.75" customHeight="1">
      <c r="A142" s="4" t="s">
        <v>1915</v>
      </c>
      <c r="B142" s="14" t="s">
        <v>375</v>
      </c>
      <c r="C142" s="120"/>
      <c r="D142" s="3">
        <f>+PI()*(E119^2)/4</f>
        <v>0.031415926535897934</v>
      </c>
      <c r="E142" s="28" t="s">
        <v>108</v>
      </c>
      <c r="F142" s="132" t="s">
        <v>377</v>
      </c>
      <c r="G142" s="14" t="s">
        <v>376</v>
      </c>
      <c r="H142" s="120"/>
      <c r="I142" s="3">
        <f>+PI()*(E120^2)/4</f>
        <v>0.007853981633974483</v>
      </c>
      <c r="J142" s="28" t="s">
        <v>108</v>
      </c>
    </row>
    <row r="143" ht="6.75" customHeight="1">
      <c r="A143" s="4"/>
    </row>
    <row r="144" ht="15.75" customHeight="1">
      <c r="A144" s="4" t="s">
        <v>378</v>
      </c>
    </row>
    <row r="145" ht="6.75" customHeight="1"/>
    <row r="146" spans="3:6" ht="15.75" customHeight="1">
      <c r="C146" s="120" t="s">
        <v>379</v>
      </c>
      <c r="F146" s="120" t="s">
        <v>380</v>
      </c>
    </row>
    <row r="147" ht="6.75" customHeight="1"/>
    <row r="148" ht="15.75" customHeight="1">
      <c r="A148" s="4" t="s">
        <v>381</v>
      </c>
    </row>
    <row r="149" ht="15.75" customHeight="1">
      <c r="A149" s="4" t="s">
        <v>382</v>
      </c>
    </row>
    <row r="150" ht="15.75" customHeight="1">
      <c r="A150" s="4" t="s">
        <v>383</v>
      </c>
    </row>
    <row r="151" ht="15.75" customHeight="1">
      <c r="A151" s="4" t="s">
        <v>387</v>
      </c>
    </row>
    <row r="152" ht="15.75" customHeight="1">
      <c r="A152" s="4" t="s">
        <v>388</v>
      </c>
    </row>
    <row r="153" ht="6.75" customHeight="1"/>
    <row r="154" ht="15.75" customHeight="1">
      <c r="A154" s="4" t="s">
        <v>389</v>
      </c>
    </row>
    <row r="155" ht="6" customHeight="1">
      <c r="A155" s="4"/>
    </row>
    <row r="156" spans="1:5" ht="15.75" customHeight="1">
      <c r="A156" s="4"/>
      <c r="B156" s="120" t="s">
        <v>390</v>
      </c>
      <c r="D156" s="1" t="s">
        <v>222</v>
      </c>
      <c r="E156" s="120" t="s">
        <v>2606</v>
      </c>
    </row>
    <row r="157" spans="1:5" ht="15.75" customHeight="1">
      <c r="A157" s="4"/>
      <c r="B157" s="3"/>
      <c r="C157" s="120"/>
      <c r="E157" s="120" t="s">
        <v>391</v>
      </c>
    </row>
    <row r="158" ht="6" customHeight="1">
      <c r="A158" s="4"/>
    </row>
    <row r="159" spans="1:6" ht="15.75" customHeight="1">
      <c r="A159" s="4" t="s">
        <v>2608</v>
      </c>
      <c r="B159" s="3"/>
      <c r="C159" s="4"/>
      <c r="E159" s="3"/>
      <c r="F159" s="4"/>
    </row>
    <row r="160" spans="1:6" ht="6" customHeight="1">
      <c r="A160" s="4"/>
      <c r="B160" s="3"/>
      <c r="C160" s="4"/>
      <c r="E160" s="3"/>
      <c r="F160" s="4"/>
    </row>
    <row r="161" spans="1:9" ht="15.75" customHeight="1">
      <c r="A161" s="1" t="s">
        <v>2609</v>
      </c>
      <c r="B161" s="6">
        <v>0</v>
      </c>
      <c r="C161" s="4" t="s">
        <v>700</v>
      </c>
      <c r="F161" s="1" t="s">
        <v>2610</v>
      </c>
      <c r="G161" s="3">
        <v>0</v>
      </c>
      <c r="H161" s="4" t="s">
        <v>2381</v>
      </c>
      <c r="I161" s="1" t="s">
        <v>2611</v>
      </c>
    </row>
    <row r="162" spans="1:6" ht="6" customHeight="1">
      <c r="A162" s="4"/>
      <c r="B162" s="3"/>
      <c r="C162" s="4"/>
      <c r="E162" s="3"/>
      <c r="F162" s="4"/>
    </row>
    <row r="163" spans="1:6" ht="15.75" customHeight="1">
      <c r="A163" s="120" t="s">
        <v>392</v>
      </c>
      <c r="B163" s="3"/>
      <c r="C163" s="4" t="s">
        <v>393</v>
      </c>
      <c r="E163" s="3"/>
      <c r="F163" s="4"/>
    </row>
    <row r="164" spans="1:6" ht="15.75" customHeight="1">
      <c r="A164" s="4"/>
      <c r="B164" s="3"/>
      <c r="C164" s="4" t="s">
        <v>2614</v>
      </c>
      <c r="E164" s="3"/>
      <c r="F164" s="4"/>
    </row>
    <row r="165" spans="3:6" ht="15.75" customHeight="1">
      <c r="C165" s="4" t="s">
        <v>349</v>
      </c>
      <c r="F165" s="4"/>
    </row>
    <row r="166" ht="6.75" customHeight="1">
      <c r="A166" s="4"/>
    </row>
    <row r="167" spans="1:4" ht="15.75" customHeight="1">
      <c r="A167" s="120" t="s">
        <v>394</v>
      </c>
      <c r="B167" s="3"/>
      <c r="C167" s="4"/>
      <c r="D167" s="4"/>
    </row>
    <row r="168" ht="6.75" customHeight="1">
      <c r="A168" s="4"/>
    </row>
    <row r="169" ht="15.75" customHeight="1">
      <c r="A169" s="4" t="s">
        <v>395</v>
      </c>
    </row>
    <row r="170" ht="6.75" customHeight="1">
      <c r="A170" s="4"/>
    </row>
    <row r="171" spans="1:3" ht="15.75" customHeight="1">
      <c r="A171" s="4"/>
      <c r="C171" s="120" t="s">
        <v>396</v>
      </c>
    </row>
    <row r="172" ht="6.75" customHeight="1">
      <c r="A172" s="4"/>
    </row>
    <row r="173" ht="15.75" customHeight="1">
      <c r="A173" s="4" t="s">
        <v>397</v>
      </c>
    </row>
    <row r="174" ht="15.75" customHeight="1">
      <c r="A174" s="4" t="s">
        <v>350</v>
      </c>
    </row>
    <row r="175" ht="15.75" customHeight="1">
      <c r="A175" s="4" t="s">
        <v>399</v>
      </c>
    </row>
    <row r="176" ht="15.75" customHeight="1">
      <c r="A176" s="4" t="s">
        <v>398</v>
      </c>
    </row>
    <row r="177" ht="15.75" customHeight="1">
      <c r="A177" s="4" t="s">
        <v>400</v>
      </c>
    </row>
    <row r="178" ht="15.75" customHeight="1">
      <c r="A178" s="4" t="s">
        <v>401</v>
      </c>
    </row>
    <row r="179" ht="15.75" customHeight="1">
      <c r="A179" s="4" t="s">
        <v>402</v>
      </c>
    </row>
    <row r="180" ht="6.75" customHeight="1">
      <c r="A180" s="4"/>
    </row>
    <row r="181" spans="1:3" ht="15.75" customHeight="1">
      <c r="A181" s="4"/>
      <c r="C181" s="120" t="s">
        <v>403</v>
      </c>
    </row>
    <row r="182" ht="6.75" customHeight="1">
      <c r="A182" s="4"/>
    </row>
    <row r="183" spans="1:6" ht="15.75" customHeight="1">
      <c r="A183" s="4" t="s">
        <v>404</v>
      </c>
      <c r="C183" s="28"/>
      <c r="F183" s="28"/>
    </row>
    <row r="184" spans="1:8" ht="15.75" customHeight="1">
      <c r="A184" s="4" t="s">
        <v>405</v>
      </c>
      <c r="C184" s="28"/>
      <c r="F184" s="28"/>
      <c r="G184" s="2"/>
      <c r="H184" s="3"/>
    </row>
    <row r="185" spans="1:8" ht="15.75" customHeight="1">
      <c r="A185" s="4" t="s">
        <v>406</v>
      </c>
      <c r="C185" s="28"/>
      <c r="F185" s="28"/>
      <c r="G185" s="2"/>
      <c r="H185" s="3"/>
    </row>
    <row r="186" spans="1:8" ht="15.75" customHeight="1">
      <c r="A186" s="4" t="s">
        <v>407</v>
      </c>
      <c r="C186" s="28"/>
      <c r="F186" s="28"/>
      <c r="G186" s="2"/>
      <c r="H186" s="3"/>
    </row>
    <row r="187" spans="3:8" ht="6.75" customHeight="1">
      <c r="C187" s="28"/>
      <c r="F187" s="28"/>
      <c r="G187" s="2"/>
      <c r="H187" s="3"/>
    </row>
    <row r="188" spans="3:6" ht="15.75" customHeight="1">
      <c r="C188" s="120" t="s">
        <v>408</v>
      </c>
      <c r="F188" s="28"/>
    </row>
    <row r="189" spans="3:8" ht="6.75" customHeight="1">
      <c r="C189" s="28"/>
      <c r="F189" s="28"/>
      <c r="G189" s="2"/>
      <c r="H189" s="3"/>
    </row>
    <row r="190" spans="1:8" ht="15.75" customHeight="1">
      <c r="A190" s="4" t="s">
        <v>409</v>
      </c>
      <c r="C190" s="28"/>
      <c r="F190" s="28"/>
      <c r="G190" s="2"/>
      <c r="H190" s="3"/>
    </row>
    <row r="191" spans="3:8" ht="6.75" customHeight="1">
      <c r="C191" s="28"/>
      <c r="F191" s="28"/>
      <c r="G191" s="2"/>
      <c r="H191" s="3"/>
    </row>
    <row r="192" spans="3:8" ht="15.75" customHeight="1">
      <c r="C192" s="120" t="s">
        <v>410</v>
      </c>
      <c r="F192" s="28"/>
      <c r="G192" s="2"/>
      <c r="H192" s="3"/>
    </row>
    <row r="193" spans="3:8" ht="6.75" customHeight="1">
      <c r="C193" s="28"/>
      <c r="F193" s="28"/>
      <c r="G193" s="2"/>
      <c r="H193" s="3"/>
    </row>
    <row r="194" spans="1:8" ht="15.75" customHeight="1">
      <c r="A194" s="4" t="s">
        <v>411</v>
      </c>
      <c r="C194" s="28"/>
      <c r="F194" s="28"/>
      <c r="G194" s="2"/>
      <c r="H194" s="3"/>
    </row>
    <row r="195" spans="1:8" ht="15.75" customHeight="1">
      <c r="A195" s="4" t="s">
        <v>351</v>
      </c>
      <c r="C195" s="28"/>
      <c r="F195" s="28"/>
      <c r="G195" s="2"/>
      <c r="H195" s="3"/>
    </row>
    <row r="196" spans="1:8" ht="6" customHeight="1">
      <c r="A196" s="4"/>
      <c r="C196" s="28"/>
      <c r="F196" s="28"/>
      <c r="G196" s="2"/>
      <c r="H196" s="3"/>
    </row>
    <row r="197" spans="1:8" ht="15.75" customHeight="1">
      <c r="A197" s="4"/>
      <c r="C197" s="120" t="s">
        <v>412</v>
      </c>
      <c r="F197" s="28"/>
      <c r="G197" s="2"/>
      <c r="H197" s="3"/>
    </row>
    <row r="198" spans="1:8" ht="6" customHeight="1">
      <c r="A198" s="4"/>
      <c r="C198" s="28"/>
      <c r="F198" s="28"/>
      <c r="G198" s="2"/>
      <c r="H198" s="3"/>
    </row>
    <row r="199" spans="1:8" ht="15.75" customHeight="1">
      <c r="A199" s="4"/>
      <c r="C199" s="120" t="s">
        <v>413</v>
      </c>
      <c r="F199" s="28"/>
      <c r="G199" s="2"/>
      <c r="H199" s="3"/>
    </row>
    <row r="200" spans="1:8" ht="6" customHeight="1">
      <c r="A200" s="4"/>
      <c r="C200" s="28"/>
      <c r="F200" s="28"/>
      <c r="G200" s="2"/>
      <c r="H200" s="3"/>
    </row>
    <row r="201" spans="1:8" ht="15.75" customHeight="1">
      <c r="A201" s="4" t="s">
        <v>414</v>
      </c>
      <c r="C201" s="28"/>
      <c r="F201" s="28"/>
      <c r="G201" s="2"/>
      <c r="H201" s="3"/>
    </row>
    <row r="202" spans="1:8" ht="15.75" customHeight="1">
      <c r="A202" s="4" t="s">
        <v>415</v>
      </c>
      <c r="C202" s="28"/>
      <c r="F202" s="28"/>
      <c r="G202" s="2"/>
      <c r="H202" s="3"/>
    </row>
    <row r="203" spans="1:8" ht="15.75" customHeight="1">
      <c r="A203" s="4" t="s">
        <v>416</v>
      </c>
      <c r="C203" s="28"/>
      <c r="F203" s="28"/>
      <c r="G203" s="2"/>
      <c r="H203" s="3"/>
    </row>
    <row r="204" spans="1:8" ht="6.75" customHeight="1">
      <c r="A204" s="4"/>
      <c r="C204" s="28"/>
      <c r="F204" s="28"/>
      <c r="G204" s="2"/>
      <c r="H204" s="3"/>
    </row>
    <row r="205" spans="1:8" ht="15.75" customHeight="1">
      <c r="A205" s="4"/>
      <c r="C205" s="120" t="s">
        <v>417</v>
      </c>
      <c r="D205" s="288" t="s">
        <v>418</v>
      </c>
      <c r="F205" s="28"/>
      <c r="G205" s="2"/>
      <c r="H205" s="3"/>
    </row>
    <row r="206" spans="1:8" ht="6.75" customHeight="1">
      <c r="A206" s="4"/>
      <c r="C206" s="28"/>
      <c r="F206" s="28"/>
      <c r="G206" s="2"/>
      <c r="H206" s="3"/>
    </row>
    <row r="207" spans="1:7" ht="15.75" customHeight="1">
      <c r="A207" s="4"/>
      <c r="B207" s="74" t="s">
        <v>1328</v>
      </c>
      <c r="C207" s="10"/>
      <c r="D207" s="10"/>
      <c r="E207" s="74"/>
      <c r="F207" s="8">
        <f>+D142*I142/SQRT(D142^2-I142^2)*SQRT(2*H118*B120*(B119-B118)/B118)</f>
        <v>0.049385197000335966</v>
      </c>
      <c r="G207" s="9" t="s">
        <v>2374</v>
      </c>
    </row>
    <row r="208" spans="1:8" ht="6" customHeight="1">
      <c r="A208" s="4"/>
      <c r="C208" s="28"/>
      <c r="F208" s="28"/>
      <c r="G208" s="2"/>
      <c r="H208" s="3"/>
    </row>
    <row r="209" spans="1:8" ht="15.75" customHeight="1">
      <c r="A209" s="4" t="s">
        <v>1329</v>
      </c>
      <c r="C209" s="28"/>
      <c r="F209" s="28"/>
      <c r="G209" s="2"/>
      <c r="H209" s="3"/>
    </row>
    <row r="210" spans="1:8" ht="15.75" customHeight="1">
      <c r="A210" s="4" t="s">
        <v>1332</v>
      </c>
      <c r="C210" s="28"/>
      <c r="F210" s="28"/>
      <c r="G210" s="2"/>
      <c r="H210" s="3"/>
    </row>
    <row r="211" spans="1:8" ht="6" customHeight="1">
      <c r="A211" s="4"/>
      <c r="C211" s="28"/>
      <c r="F211" s="28"/>
      <c r="G211" s="2"/>
      <c r="H211" s="3"/>
    </row>
    <row r="212" spans="1:8" ht="15.75" customHeight="1">
      <c r="A212" s="4" t="s">
        <v>352</v>
      </c>
      <c r="C212" s="28"/>
      <c r="F212" s="28"/>
      <c r="G212" s="2"/>
      <c r="H212" s="3"/>
    </row>
    <row r="213" spans="1:8" ht="15.75" customHeight="1">
      <c r="A213" s="4" t="s">
        <v>1330</v>
      </c>
      <c r="C213" s="28"/>
      <c r="F213" s="28"/>
      <c r="G213" s="2"/>
      <c r="H213" s="3"/>
    </row>
    <row r="214" spans="3:8" ht="6.75" customHeight="1">
      <c r="C214" s="28"/>
      <c r="F214" s="28"/>
      <c r="G214" s="2"/>
      <c r="H214" s="3"/>
    </row>
    <row r="215" spans="3:8" ht="15.75" customHeight="1">
      <c r="C215" s="74" t="s">
        <v>1331</v>
      </c>
      <c r="D215" s="10"/>
      <c r="E215" s="8">
        <f>+E118-(F207^2)/(2*H118*(I142^2))</f>
        <v>9.983993473383643</v>
      </c>
      <c r="F215" s="9" t="s">
        <v>699</v>
      </c>
      <c r="G215" s="2"/>
      <c r="H215" s="3"/>
    </row>
    <row r="216" ht="6" customHeight="1"/>
    <row r="217" spans="1:10" ht="6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</row>
    <row r="218" spans="1:10" ht="6" customHeight="1">
      <c r="A218" s="76"/>
      <c r="B218" s="12"/>
      <c r="C218" s="12"/>
      <c r="D218" s="12"/>
      <c r="E218" s="12"/>
      <c r="F218" s="12"/>
      <c r="G218" s="12"/>
      <c r="H218" s="12"/>
      <c r="I218" s="12"/>
      <c r="J218" s="12"/>
    </row>
    <row r="219" ht="15.75" customHeight="1">
      <c r="A219" s="85" t="s">
        <v>322</v>
      </c>
    </row>
    <row r="220" ht="6" customHeight="1">
      <c r="A220" s="5"/>
    </row>
    <row r="221" ht="15.75" customHeight="1">
      <c r="A221" s="5" t="s">
        <v>112</v>
      </c>
    </row>
    <row r="222" ht="6" customHeight="1">
      <c r="A222" s="5"/>
    </row>
    <row r="223" spans="1:9" ht="15.75" customHeight="1">
      <c r="A223" s="2" t="s">
        <v>698</v>
      </c>
      <c r="B223" s="1">
        <v>15000</v>
      </c>
      <c r="C223" s="28" t="s">
        <v>713</v>
      </c>
      <c r="D223" s="1" t="s">
        <v>1016</v>
      </c>
      <c r="E223" s="3">
        <v>16</v>
      </c>
      <c r="F223" s="4" t="s">
        <v>699</v>
      </c>
      <c r="G223" s="1" t="s">
        <v>2515</v>
      </c>
      <c r="H223" s="3">
        <v>0.5</v>
      </c>
      <c r="I223" s="4" t="s">
        <v>699</v>
      </c>
    </row>
    <row r="224" spans="1:9" ht="15.75" customHeight="1">
      <c r="A224" s="2" t="s">
        <v>2385</v>
      </c>
      <c r="B224" s="1">
        <v>600</v>
      </c>
      <c r="C224" s="28" t="s">
        <v>713</v>
      </c>
      <c r="D224" s="1" t="s">
        <v>2376</v>
      </c>
      <c r="E224" s="3">
        <v>15</v>
      </c>
      <c r="F224" s="4" t="s">
        <v>699</v>
      </c>
      <c r="G224" s="1" t="s">
        <v>2516</v>
      </c>
      <c r="H224" s="3">
        <v>0.4</v>
      </c>
      <c r="I224" s="4" t="s">
        <v>699</v>
      </c>
    </row>
    <row r="225" spans="1:4" ht="15.75" customHeight="1">
      <c r="A225" s="1" t="s">
        <v>1017</v>
      </c>
      <c r="B225" s="1">
        <v>9.806</v>
      </c>
      <c r="C225" s="28" t="s">
        <v>1018</v>
      </c>
      <c r="D225" s="21" t="s">
        <v>1020</v>
      </c>
    </row>
    <row r="226" spans="3:4" ht="6" customHeight="1">
      <c r="C226" s="28"/>
      <c r="D226" s="21"/>
    </row>
    <row r="227" spans="1:4" ht="15.75" customHeight="1">
      <c r="A227" s="135" t="s">
        <v>323</v>
      </c>
      <c r="C227" s="28"/>
      <c r="D227" s="21"/>
    </row>
    <row r="228" spans="1:4" ht="15.75" customHeight="1">
      <c r="A228" s="120" t="s">
        <v>878</v>
      </c>
      <c r="C228" s="28"/>
      <c r="D228" s="21"/>
    </row>
    <row r="229" spans="1:4" ht="6" customHeight="1">
      <c r="A229" s="120"/>
      <c r="C229" s="28"/>
      <c r="D229" s="21"/>
    </row>
    <row r="230" ht="15.75" customHeight="1">
      <c r="A230" s="5" t="s">
        <v>113</v>
      </c>
    </row>
    <row r="231" ht="6" customHeight="1">
      <c r="A231" s="5"/>
    </row>
    <row r="232" spans="1:9" ht="15.75" customHeight="1">
      <c r="A232" s="1" t="s">
        <v>2517</v>
      </c>
      <c r="B232" s="3">
        <f>+PI()*(H223^2)/4</f>
        <v>0.19634954084936207</v>
      </c>
      <c r="C232" s="28" t="s">
        <v>108</v>
      </c>
      <c r="D232" s="10" t="s">
        <v>2373</v>
      </c>
      <c r="E232" s="8">
        <f>+B232*SQRT(2*B225*(E223-E224))</f>
        <v>0.8695425375820927</v>
      </c>
      <c r="F232" s="9" t="s">
        <v>2374</v>
      </c>
      <c r="G232" s="1" t="s">
        <v>879</v>
      </c>
      <c r="H232" s="3">
        <f>+E232/B232</f>
        <v>4.428543778715527</v>
      </c>
      <c r="I232" s="4" t="s">
        <v>2381</v>
      </c>
    </row>
    <row r="233" spans="7:8" ht="6" customHeight="1">
      <c r="G233" s="2"/>
      <c r="H233" s="3"/>
    </row>
    <row r="234" spans="1:9" ht="15.75" customHeight="1">
      <c r="A234" s="1" t="s">
        <v>2518</v>
      </c>
      <c r="B234" s="3">
        <f>+PI()*(H224^2)/4</f>
        <v>0.12566370614359174</v>
      </c>
      <c r="C234" s="28" t="s">
        <v>108</v>
      </c>
      <c r="D234" s="1" t="s">
        <v>880</v>
      </c>
      <c r="E234" s="3">
        <f>+E232/B234</f>
        <v>6.919599654243011</v>
      </c>
      <c r="F234" s="4" t="s">
        <v>2381</v>
      </c>
      <c r="G234" s="7" t="s">
        <v>702</v>
      </c>
      <c r="H234" s="8">
        <f>+B223/(B223-B224)*(E234^2-H232^2)/(2*B225)</f>
        <v>1.50146484375</v>
      </c>
      <c r="I234" s="9" t="s">
        <v>699</v>
      </c>
    </row>
    <row r="235" spans="1:10" ht="6" customHeight="1">
      <c r="A235" s="76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6" customHeight="1">
      <c r="A236" s="128"/>
      <c r="B236" s="87"/>
      <c r="C236" s="87"/>
      <c r="D236" s="87"/>
      <c r="E236" s="87"/>
      <c r="F236" s="87"/>
      <c r="G236" s="87"/>
      <c r="H236" s="87"/>
      <c r="I236" s="87"/>
      <c r="J236" s="87"/>
    </row>
    <row r="237" spans="1:10" ht="6" customHeight="1">
      <c r="A237" s="76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customHeight="1">
      <c r="A238" s="85" t="s">
        <v>881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6" customHeight="1">
      <c r="A239" s="5"/>
      <c r="B239" s="12"/>
      <c r="C239" s="12"/>
      <c r="D239" s="12"/>
      <c r="E239" s="12"/>
      <c r="F239" s="12"/>
      <c r="G239" s="12"/>
      <c r="H239" s="12"/>
      <c r="I239" s="12"/>
      <c r="J239" s="12"/>
    </row>
    <row r="240" ht="15.75" customHeight="1">
      <c r="A240" s="5" t="s">
        <v>112</v>
      </c>
    </row>
    <row r="241" ht="6" customHeight="1"/>
    <row r="242" spans="1:9" ht="15.75" customHeight="1">
      <c r="A242" s="2" t="s">
        <v>698</v>
      </c>
      <c r="B242" s="1">
        <v>7800</v>
      </c>
      <c r="C242" s="28" t="s">
        <v>713</v>
      </c>
      <c r="D242" s="1" t="s">
        <v>2516</v>
      </c>
      <c r="E242" s="3">
        <v>0.25</v>
      </c>
      <c r="F242" s="4" t="s">
        <v>699</v>
      </c>
      <c r="G242" s="16" t="s">
        <v>702</v>
      </c>
      <c r="H242" s="15">
        <v>0.05</v>
      </c>
      <c r="I242" s="14" t="s">
        <v>699</v>
      </c>
    </row>
    <row r="243" spans="1:9" ht="15.75" customHeight="1">
      <c r="A243" s="2" t="s">
        <v>2385</v>
      </c>
      <c r="B243" s="1">
        <v>133362</v>
      </c>
      <c r="C243" s="28" t="s">
        <v>713</v>
      </c>
      <c r="D243" s="1" t="s">
        <v>882</v>
      </c>
      <c r="E243" s="3">
        <v>0.2</v>
      </c>
      <c r="F243" s="4" t="s">
        <v>699</v>
      </c>
      <c r="G243" s="1" t="s">
        <v>1016</v>
      </c>
      <c r="H243" s="3">
        <v>21</v>
      </c>
      <c r="I243" s="4" t="s">
        <v>699</v>
      </c>
    </row>
    <row r="244" spans="1:7" ht="15.75" customHeight="1">
      <c r="A244" s="1" t="s">
        <v>1017</v>
      </c>
      <c r="B244" s="1">
        <v>9.806</v>
      </c>
      <c r="C244" s="28" t="s">
        <v>1018</v>
      </c>
      <c r="D244" s="1" t="s">
        <v>883</v>
      </c>
      <c r="E244" s="3">
        <v>0.3</v>
      </c>
      <c r="F244" s="4" t="s">
        <v>699</v>
      </c>
      <c r="G244" s="21" t="s">
        <v>1020</v>
      </c>
    </row>
    <row r="245" spans="3:6" ht="6" customHeight="1">
      <c r="C245" s="28"/>
      <c r="E245" s="3"/>
      <c r="F245" s="4"/>
    </row>
    <row r="246" spans="1:6" ht="15.75" customHeight="1">
      <c r="A246" s="135" t="s">
        <v>884</v>
      </c>
      <c r="C246" s="28"/>
      <c r="E246" s="3"/>
      <c r="F246" s="4"/>
    </row>
    <row r="247" spans="1:6" ht="15.75" customHeight="1">
      <c r="A247" s="137" t="s">
        <v>885</v>
      </c>
      <c r="C247" s="28"/>
      <c r="E247" s="3"/>
      <c r="F247" s="4"/>
    </row>
    <row r="248" spans="1:6" ht="6" customHeight="1">
      <c r="A248" s="120"/>
      <c r="C248" s="28"/>
      <c r="E248" s="3"/>
      <c r="F248" s="4"/>
    </row>
    <row r="249" spans="1:6" ht="15.75" customHeight="1">
      <c r="A249" s="5" t="s">
        <v>113</v>
      </c>
      <c r="F249" s="3"/>
    </row>
    <row r="250" spans="1:6" ht="6" customHeight="1">
      <c r="A250" s="5"/>
      <c r="F250" s="3"/>
    </row>
    <row r="251" spans="1:9" ht="15.75" customHeight="1">
      <c r="A251" s="1" t="s">
        <v>886</v>
      </c>
      <c r="B251" s="3">
        <f>+PI()*(E243^2)/4</f>
        <v>0.031415926535897934</v>
      </c>
      <c r="C251" s="28" t="s">
        <v>108</v>
      </c>
      <c r="D251" s="2" t="s">
        <v>703</v>
      </c>
      <c r="E251" s="3">
        <f>+H242*(B243-B242)/B242</f>
        <v>0.8048846153846154</v>
      </c>
      <c r="F251" s="4" t="s">
        <v>699</v>
      </c>
      <c r="G251" s="10" t="s">
        <v>887</v>
      </c>
      <c r="H251" s="8">
        <f>+B251*SQRT(2*B244*E251)</f>
        <v>0.12481811746030426</v>
      </c>
      <c r="I251" s="9" t="s">
        <v>2374</v>
      </c>
    </row>
    <row r="252" spans="2:9" ht="6" customHeight="1">
      <c r="B252" s="3"/>
      <c r="C252" s="4"/>
      <c r="D252" s="2"/>
      <c r="E252" s="3"/>
      <c r="F252" s="4"/>
      <c r="G252" s="12"/>
      <c r="H252" s="15"/>
      <c r="I252" s="14"/>
    </row>
    <row r="253" spans="1:9" ht="15.75" customHeight="1">
      <c r="A253" s="1" t="s">
        <v>888</v>
      </c>
      <c r="B253" s="3">
        <f>+PI()*(E244^2)/4</f>
        <v>0.07068583470577035</v>
      </c>
      <c r="C253" s="28" t="s">
        <v>108</v>
      </c>
      <c r="D253" s="1" t="s">
        <v>889</v>
      </c>
      <c r="E253" s="3">
        <f>+H251/B253</f>
        <v>1.7658151449984205</v>
      </c>
      <c r="F253" s="4" t="s">
        <v>2381</v>
      </c>
      <c r="G253" s="10" t="s">
        <v>2376</v>
      </c>
      <c r="H253" s="8">
        <f>+H243-E253^2/(2*B244)</f>
        <v>20.84101044634378</v>
      </c>
      <c r="I253" s="9" t="s">
        <v>699</v>
      </c>
    </row>
    <row r="254" spans="2:8" ht="6" customHeight="1">
      <c r="B254" s="3"/>
      <c r="C254" s="4"/>
      <c r="G254" s="2"/>
      <c r="H254" s="3"/>
    </row>
    <row r="255" spans="1:9" ht="15.75" customHeight="1">
      <c r="A255" s="1" t="s">
        <v>2518</v>
      </c>
      <c r="B255" s="3">
        <f>+PI()*(E242^2)/4</f>
        <v>0.04908738521234052</v>
      </c>
      <c r="C255" s="28" t="s">
        <v>108</v>
      </c>
      <c r="D255" s="10" t="s">
        <v>890</v>
      </c>
      <c r="E255" s="8">
        <f>+B255*SQRT(2*B244*(H243-H253))</f>
        <v>0.08667924823632218</v>
      </c>
      <c r="F255" s="9" t="s">
        <v>2374</v>
      </c>
      <c r="G255" s="16"/>
      <c r="I255" s="14"/>
    </row>
    <row r="256" ht="6" customHeight="1"/>
    <row r="257" spans="1:10" ht="6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</row>
    <row r="258" ht="6" customHeight="1"/>
  </sheetData>
  <sheetProtection password="DD5B" sheet="1" objects="1" scenarios="1"/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3"/>
  <sheetViews>
    <sheetView view="pageBreakPreview" zoomScale="130" zoomScaleSheetLayoutView="130" workbookViewId="0" topLeftCell="A310">
      <selection activeCell="C310" sqref="C310"/>
    </sheetView>
  </sheetViews>
  <sheetFormatPr defaultColWidth="9.140625" defaultRowHeight="15.75" customHeight="1"/>
  <cols>
    <col min="1" max="1" width="9.140625" style="120" customWidth="1"/>
    <col min="2" max="2" width="10.00390625" style="120" customWidth="1"/>
    <col min="3" max="3" width="9.7109375" style="120" customWidth="1"/>
    <col min="4" max="4" width="9.140625" style="120" customWidth="1"/>
    <col min="5" max="5" width="10.421875" style="120" customWidth="1"/>
    <col min="6" max="6" width="10.28125" style="120" customWidth="1"/>
    <col min="7" max="8" width="9.140625" style="120" customWidth="1"/>
    <col min="9" max="9" width="18.28125" style="120" customWidth="1"/>
    <col min="10" max="16384" width="9.140625" style="120" customWidth="1"/>
  </cols>
  <sheetData>
    <row r="1" spans="1:9" ht="15.75" customHeight="1">
      <c r="A1" s="339" t="s">
        <v>891</v>
      </c>
      <c r="B1" s="28"/>
      <c r="C1" s="28"/>
      <c r="D1" s="28"/>
      <c r="E1" s="28"/>
      <c r="F1" s="28"/>
      <c r="G1" s="28"/>
      <c r="H1" s="28"/>
      <c r="I1" s="28"/>
    </row>
    <row r="2" ht="6" customHeight="1">
      <c r="A2" s="1"/>
    </row>
    <row r="3" ht="15.75" customHeight="1">
      <c r="A3" s="5" t="s">
        <v>112</v>
      </c>
    </row>
    <row r="4" ht="6" customHeight="1"/>
    <row r="5" spans="1:9" ht="15.75" customHeight="1">
      <c r="A5" s="2" t="s">
        <v>698</v>
      </c>
      <c r="B5" s="1">
        <v>9806</v>
      </c>
      <c r="C5" s="28" t="s">
        <v>713</v>
      </c>
      <c r="D5" s="1" t="s">
        <v>1017</v>
      </c>
      <c r="E5" s="1">
        <v>9.806</v>
      </c>
      <c r="F5" s="4" t="s">
        <v>1018</v>
      </c>
      <c r="G5" s="1" t="s">
        <v>892</v>
      </c>
      <c r="H5" s="3">
        <v>6</v>
      </c>
      <c r="I5" s="4" t="s">
        <v>699</v>
      </c>
    </row>
    <row r="6" spans="1:9" ht="15.75" customHeight="1">
      <c r="A6" s="107" t="s">
        <v>709</v>
      </c>
      <c r="B6" s="138">
        <v>1E-06</v>
      </c>
      <c r="C6" s="28" t="s">
        <v>893</v>
      </c>
      <c r="D6" s="1" t="s">
        <v>1016</v>
      </c>
      <c r="E6" s="3">
        <v>12</v>
      </c>
      <c r="F6" s="4" t="s">
        <v>699</v>
      </c>
      <c r="G6" s="1" t="s">
        <v>894</v>
      </c>
      <c r="H6" s="3">
        <v>8</v>
      </c>
      <c r="I6" s="4" t="s">
        <v>699</v>
      </c>
    </row>
    <row r="7" spans="1:9" ht="15.75" customHeight="1">
      <c r="A7" s="2" t="s">
        <v>2277</v>
      </c>
      <c r="B7" s="1">
        <v>133362</v>
      </c>
      <c r="C7" s="28" t="s">
        <v>713</v>
      </c>
      <c r="D7" s="1" t="s">
        <v>2515</v>
      </c>
      <c r="E7" s="3">
        <v>0.2</v>
      </c>
      <c r="F7" s="4" t="s">
        <v>699</v>
      </c>
      <c r="G7" s="107" t="s">
        <v>895</v>
      </c>
      <c r="H7" s="1">
        <v>0.0005</v>
      </c>
      <c r="I7" s="120" t="s">
        <v>699</v>
      </c>
    </row>
    <row r="8" spans="1:9" ht="15.75" customHeight="1">
      <c r="A8" s="2" t="s">
        <v>702</v>
      </c>
      <c r="B8" s="3">
        <v>0.15</v>
      </c>
      <c r="C8" s="4" t="s">
        <v>699</v>
      </c>
      <c r="D8" s="1" t="s">
        <v>2516</v>
      </c>
      <c r="E8" s="3">
        <v>0.1</v>
      </c>
      <c r="F8" s="4" t="s">
        <v>699</v>
      </c>
      <c r="G8" s="2" t="s">
        <v>896</v>
      </c>
      <c r="H8" s="19">
        <v>0</v>
      </c>
      <c r="I8" s="120" t="s">
        <v>897</v>
      </c>
    </row>
    <row r="9" spans="1:8" ht="6" customHeight="1">
      <c r="A9" s="2"/>
      <c r="B9" s="3"/>
      <c r="C9" s="4"/>
      <c r="D9" s="1"/>
      <c r="E9" s="3"/>
      <c r="F9" s="4"/>
      <c r="G9" s="2"/>
      <c r="H9" s="19"/>
    </row>
    <row r="10" spans="1:8" ht="15.75" customHeight="1">
      <c r="A10" s="135" t="s">
        <v>1902</v>
      </c>
      <c r="B10" s="3"/>
      <c r="C10" s="4"/>
      <c r="D10" s="1"/>
      <c r="E10" s="3"/>
      <c r="F10" s="4"/>
      <c r="G10" s="2"/>
      <c r="H10" s="19"/>
    </row>
    <row r="11" spans="1:8" ht="15.75" customHeight="1">
      <c r="A11" s="135" t="s">
        <v>898</v>
      </c>
      <c r="B11" s="3"/>
      <c r="C11" s="4"/>
      <c r="D11" s="1"/>
      <c r="E11" s="3"/>
      <c r="F11" s="4"/>
      <c r="G11" s="2"/>
      <c r="H11" s="19"/>
    </row>
    <row r="12" spans="1:8" ht="6" customHeight="1">
      <c r="A12" s="1"/>
      <c r="B12" s="3"/>
      <c r="C12" s="4"/>
      <c r="D12" s="1"/>
      <c r="E12" s="3"/>
      <c r="F12" s="4"/>
      <c r="G12" s="2"/>
      <c r="H12" s="19"/>
    </row>
    <row r="13" spans="1:8" ht="15.75" customHeight="1">
      <c r="A13" s="5" t="s">
        <v>113</v>
      </c>
      <c r="B13" s="3"/>
      <c r="C13" s="4"/>
      <c r="D13" s="1"/>
      <c r="E13" s="3"/>
      <c r="F13" s="4"/>
      <c r="G13" s="2"/>
      <c r="H13" s="19"/>
    </row>
    <row r="14" spans="1:8" ht="6.75" customHeight="1">
      <c r="A14" s="4"/>
      <c r="B14" s="3"/>
      <c r="C14" s="4"/>
      <c r="D14" s="1"/>
      <c r="E14" s="3"/>
      <c r="F14" s="4"/>
      <c r="G14" s="2"/>
      <c r="H14" s="19"/>
    </row>
    <row r="15" spans="1:8" ht="15.75" customHeight="1">
      <c r="A15" s="4" t="s">
        <v>2368</v>
      </c>
      <c r="B15" s="3"/>
      <c r="C15" s="4"/>
      <c r="D15" s="1"/>
      <c r="E15" s="3"/>
      <c r="F15" s="4"/>
      <c r="G15" s="2"/>
      <c r="H15" s="19"/>
    </row>
    <row r="16" spans="1:8" ht="15.75" customHeight="1">
      <c r="A16" s="4" t="s">
        <v>2369</v>
      </c>
      <c r="B16" s="3"/>
      <c r="C16" s="4"/>
      <c r="D16" s="1"/>
      <c r="E16" s="3"/>
      <c r="F16" s="4"/>
      <c r="G16" s="2"/>
      <c r="H16" s="19"/>
    </row>
    <row r="17" spans="1:8" ht="15.75" customHeight="1">
      <c r="A17" s="4" t="s">
        <v>353</v>
      </c>
      <c r="B17" s="3"/>
      <c r="C17" s="4"/>
      <c r="D17" s="1"/>
      <c r="E17" s="3"/>
      <c r="F17" s="4"/>
      <c r="G17" s="2"/>
      <c r="H17" s="19"/>
    </row>
    <row r="18" spans="1:10" ht="15.75" customHeight="1">
      <c r="A18" s="120" t="s">
        <v>354</v>
      </c>
      <c r="B18" s="3"/>
      <c r="C18" s="4"/>
      <c r="D18" s="1"/>
      <c r="E18" s="3"/>
      <c r="F18" s="4"/>
      <c r="G18" s="1"/>
      <c r="H18" s="1"/>
      <c r="I18" s="1"/>
      <c r="J18" s="1"/>
    </row>
    <row r="19" spans="1:10" ht="15.75" customHeight="1">
      <c r="A19" s="120" t="s">
        <v>2370</v>
      </c>
      <c r="B19" s="3"/>
      <c r="C19" s="4"/>
      <c r="D19" s="1"/>
      <c r="E19" s="3"/>
      <c r="F19" s="4"/>
      <c r="G19" s="1"/>
      <c r="H19" s="1"/>
      <c r="I19" s="1"/>
      <c r="J19" s="1"/>
    </row>
    <row r="20" spans="1:10" ht="15.75" customHeight="1">
      <c r="A20" s="120" t="s">
        <v>2371</v>
      </c>
      <c r="B20" s="3"/>
      <c r="C20" s="4"/>
      <c r="D20" s="1"/>
      <c r="E20" s="3"/>
      <c r="F20" s="4"/>
      <c r="G20" s="1"/>
      <c r="H20" s="1"/>
      <c r="I20" s="1"/>
      <c r="J20" s="1"/>
    </row>
    <row r="21" spans="1:10" ht="15.75" customHeight="1">
      <c r="A21" s="120" t="s">
        <v>1741</v>
      </c>
      <c r="B21" s="3"/>
      <c r="C21" s="4"/>
      <c r="D21" s="1"/>
      <c r="E21" s="3"/>
      <c r="F21" s="4"/>
      <c r="G21" s="1"/>
      <c r="H21" s="1"/>
      <c r="I21" s="1"/>
      <c r="J21" s="1"/>
    </row>
    <row r="22" spans="1:10" ht="15.75" customHeight="1">
      <c r="A22" s="120" t="s">
        <v>1742</v>
      </c>
      <c r="B22" s="3"/>
      <c r="C22" s="4"/>
      <c r="D22" s="1"/>
      <c r="E22" s="3"/>
      <c r="F22" s="4"/>
      <c r="G22" s="1"/>
      <c r="H22" s="1"/>
      <c r="I22" s="1"/>
      <c r="J22" s="1"/>
    </row>
    <row r="23" spans="1:10" ht="15.75" customHeight="1">
      <c r="A23" s="120" t="s">
        <v>355</v>
      </c>
      <c r="B23" s="3"/>
      <c r="C23" s="4"/>
      <c r="D23" s="1"/>
      <c r="E23" s="3"/>
      <c r="F23" s="4"/>
      <c r="G23" s="1"/>
      <c r="H23" s="1"/>
      <c r="I23" s="1"/>
      <c r="J23" s="1"/>
    </row>
    <row r="24" spans="1:10" ht="15.75" customHeight="1">
      <c r="A24" s="120" t="s">
        <v>1743</v>
      </c>
      <c r="B24" s="3"/>
      <c r="C24" s="4"/>
      <c r="D24" s="1"/>
      <c r="E24" s="3"/>
      <c r="F24" s="4"/>
      <c r="G24" s="1"/>
      <c r="H24" s="1"/>
      <c r="I24" s="1"/>
      <c r="J24" s="1"/>
    </row>
    <row r="25" spans="1:10" ht="15.75" customHeight="1">
      <c r="A25" s="120" t="s">
        <v>356</v>
      </c>
      <c r="B25" s="3"/>
      <c r="C25" s="4"/>
      <c r="D25" s="1"/>
      <c r="E25" s="3"/>
      <c r="F25" s="4"/>
      <c r="G25" s="1"/>
      <c r="H25" s="1"/>
      <c r="I25" s="1"/>
      <c r="J25" s="1"/>
    </row>
    <row r="26" spans="1:10" ht="15.75" customHeight="1">
      <c r="A26" s="4" t="s">
        <v>1744</v>
      </c>
      <c r="B26" s="3"/>
      <c r="C26" s="4"/>
      <c r="D26" s="1"/>
      <c r="E26" s="3"/>
      <c r="F26" s="4"/>
      <c r="G26" s="1"/>
      <c r="H26" s="1"/>
      <c r="I26" s="1"/>
      <c r="J26" s="1"/>
    </row>
    <row r="27" spans="1:10" ht="15.75" customHeight="1">
      <c r="A27" s="120" t="s">
        <v>1745</v>
      </c>
      <c r="B27" s="3"/>
      <c r="C27" s="4"/>
      <c r="D27" s="1"/>
      <c r="E27" s="3"/>
      <c r="F27" s="4"/>
      <c r="G27" s="1"/>
      <c r="H27" s="1"/>
      <c r="I27" s="1"/>
      <c r="J27" s="1"/>
    </row>
    <row r="28" spans="1:8" ht="15.75" customHeight="1">
      <c r="A28" s="4" t="s">
        <v>815</v>
      </c>
      <c r="B28" s="3"/>
      <c r="C28" s="4"/>
      <c r="D28" s="1"/>
      <c r="E28" s="3"/>
      <c r="F28" s="4"/>
      <c r="G28" s="2"/>
      <c r="H28" s="19"/>
    </row>
    <row r="29" spans="1:8" ht="6.75" customHeight="1">
      <c r="A29" s="4"/>
      <c r="B29" s="3"/>
      <c r="C29" s="4"/>
      <c r="D29" s="1"/>
      <c r="E29" s="3"/>
      <c r="F29" s="4"/>
      <c r="G29" s="2"/>
      <c r="H29" s="19"/>
    </row>
    <row r="30" spans="1:10" ht="15.75" customHeight="1">
      <c r="A30" s="4" t="s">
        <v>816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6" customHeight="1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2:10" ht="15.75" customHeight="1">
      <c r="B32" s="120" t="s">
        <v>817</v>
      </c>
      <c r="C32" s="1"/>
      <c r="F32" s="120" t="s">
        <v>819</v>
      </c>
      <c r="G32" s="1"/>
      <c r="H32" s="1"/>
      <c r="I32" s="1"/>
      <c r="J32" s="1"/>
    </row>
    <row r="33" spans="1:10" ht="6" customHeight="1">
      <c r="A33" s="3"/>
      <c r="C33" s="1"/>
      <c r="F33" s="1"/>
      <c r="G33" s="1"/>
      <c r="H33" s="1"/>
      <c r="I33" s="1"/>
      <c r="J33" s="1"/>
    </row>
    <row r="34" spans="2:10" ht="15.75" customHeight="1">
      <c r="B34" s="120" t="s">
        <v>818</v>
      </c>
      <c r="C34" s="1"/>
      <c r="F34" s="120" t="s">
        <v>820</v>
      </c>
      <c r="G34" s="1"/>
      <c r="H34" s="1"/>
      <c r="I34" s="1"/>
      <c r="J34" s="1"/>
    </row>
    <row r="35" spans="1:10" ht="6" customHeight="1">
      <c r="A35" s="3"/>
      <c r="B35" s="4"/>
      <c r="C35" s="1"/>
      <c r="D35" s="3"/>
      <c r="E35" s="4"/>
      <c r="G35" s="1"/>
      <c r="H35" s="1"/>
      <c r="I35" s="1"/>
      <c r="J35" s="1"/>
    </row>
    <row r="36" spans="1:10" ht="15.75" customHeight="1">
      <c r="A36" s="120" t="s">
        <v>822</v>
      </c>
      <c r="B36" s="4"/>
      <c r="C36" s="1"/>
      <c r="D36" s="3"/>
      <c r="E36" s="4"/>
      <c r="F36" s="120" t="s">
        <v>821</v>
      </c>
      <c r="G36" s="1"/>
      <c r="H36" s="1"/>
      <c r="I36" s="1"/>
      <c r="J36" s="1"/>
    </row>
    <row r="37" spans="1:10" ht="6" customHeight="1">
      <c r="A37" s="1"/>
      <c r="B37" s="6"/>
      <c r="C37" s="4"/>
      <c r="D37" s="1"/>
      <c r="E37" s="1"/>
      <c r="F37" s="1"/>
      <c r="G37" s="3"/>
      <c r="H37" s="4"/>
      <c r="I37" s="1"/>
      <c r="J37" s="1"/>
    </row>
    <row r="38" spans="1:10" ht="15.75" customHeight="1">
      <c r="A38" s="120" t="s">
        <v>823</v>
      </c>
      <c r="B38" s="3"/>
      <c r="C38" s="4"/>
      <c r="D38" s="1"/>
      <c r="E38" s="3"/>
      <c r="F38" s="4"/>
      <c r="G38" s="1"/>
      <c r="H38" s="1"/>
      <c r="I38" s="1"/>
      <c r="J38" s="1"/>
    </row>
    <row r="39" spans="2:10" ht="6" customHeight="1">
      <c r="B39" s="3"/>
      <c r="C39" s="4"/>
      <c r="D39" s="1"/>
      <c r="E39" s="3"/>
      <c r="F39" s="4"/>
      <c r="G39" s="1"/>
      <c r="H39" s="1"/>
      <c r="I39" s="1"/>
      <c r="J39" s="1"/>
    </row>
    <row r="40" spans="1:10" ht="15.75" customHeight="1">
      <c r="A40" s="4" t="s">
        <v>840</v>
      </c>
      <c r="B40" s="3"/>
      <c r="C40" s="4"/>
      <c r="D40" s="1"/>
      <c r="E40" s="3"/>
      <c r="F40" s="4"/>
      <c r="G40" s="1"/>
      <c r="H40" s="1"/>
      <c r="I40" s="1"/>
      <c r="J40" s="1"/>
    </row>
    <row r="41" spans="1:10" ht="15.75" customHeight="1">
      <c r="A41" s="4" t="s">
        <v>357</v>
      </c>
      <c r="B41" s="1"/>
      <c r="C41" s="4"/>
      <c r="D41" s="1"/>
      <c r="E41" s="1"/>
      <c r="F41" s="4"/>
      <c r="G41" s="1"/>
      <c r="H41" s="1"/>
      <c r="I41" s="1"/>
      <c r="J41" s="1"/>
    </row>
    <row r="42" spans="1:10" ht="15.75" customHeight="1">
      <c r="A42" s="4" t="s">
        <v>824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4" t="s">
        <v>825</v>
      </c>
      <c r="B43" s="3"/>
      <c r="C43" s="4"/>
      <c r="D43" s="4"/>
      <c r="E43" s="1"/>
      <c r="F43" s="1"/>
      <c r="G43" s="1"/>
      <c r="H43" s="1"/>
      <c r="I43" s="1"/>
      <c r="J43" s="1"/>
    </row>
    <row r="44" spans="1:10" ht="15.75" customHeight="1">
      <c r="A44" s="4" t="s">
        <v>826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4" t="s">
        <v>827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4" t="s">
        <v>828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4" t="s">
        <v>829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4" t="s">
        <v>830</v>
      </c>
      <c r="B48" s="1"/>
      <c r="D48" s="1"/>
      <c r="E48" s="1"/>
      <c r="F48" s="1"/>
      <c r="G48" s="1"/>
      <c r="H48" s="1"/>
      <c r="I48" s="1"/>
      <c r="J48" s="1"/>
    </row>
    <row r="49" spans="1:8" ht="15.75" customHeight="1">
      <c r="A49" s="4" t="s">
        <v>831</v>
      </c>
      <c r="B49" s="3"/>
      <c r="C49" s="4"/>
      <c r="D49" s="1"/>
      <c r="E49" s="3"/>
      <c r="F49" s="4"/>
      <c r="G49" s="2"/>
      <c r="H49" s="19"/>
    </row>
    <row r="50" spans="1:8" ht="6" customHeight="1">
      <c r="A50" s="4"/>
      <c r="B50" s="3"/>
      <c r="C50" s="4"/>
      <c r="D50" s="1"/>
      <c r="E50" s="3"/>
      <c r="F50" s="4"/>
      <c r="G50" s="2"/>
      <c r="H50" s="19"/>
    </row>
    <row r="51" spans="1:8" ht="15.75" customHeight="1">
      <c r="A51" s="4"/>
      <c r="B51" s="3"/>
      <c r="C51" s="120" t="s">
        <v>832</v>
      </c>
      <c r="D51" s="1"/>
      <c r="E51" s="3"/>
      <c r="F51" s="4"/>
      <c r="G51" s="2"/>
      <c r="H51" s="19"/>
    </row>
    <row r="52" spans="1:8" ht="6" customHeight="1">
      <c r="A52" s="4"/>
      <c r="B52" s="3"/>
      <c r="C52" s="4"/>
      <c r="D52" s="1"/>
      <c r="E52" s="3"/>
      <c r="F52" s="4"/>
      <c r="G52" s="2"/>
      <c r="H52" s="19"/>
    </row>
    <row r="53" spans="1:8" ht="15.75" customHeight="1">
      <c r="A53" s="4"/>
      <c r="B53" s="3"/>
      <c r="C53" s="120" t="s">
        <v>410</v>
      </c>
      <c r="D53" s="1"/>
      <c r="E53" s="3"/>
      <c r="F53" s="4"/>
      <c r="G53" s="2"/>
      <c r="H53" s="19"/>
    </row>
    <row r="54" spans="1:8" ht="6" customHeight="1">
      <c r="A54" s="4"/>
      <c r="B54" s="3"/>
      <c r="C54" s="4"/>
      <c r="D54" s="1"/>
      <c r="E54" s="3"/>
      <c r="F54" s="4"/>
      <c r="G54" s="2"/>
      <c r="H54" s="19"/>
    </row>
    <row r="55" spans="1:8" ht="15.75" customHeight="1">
      <c r="A55" s="4" t="s">
        <v>833</v>
      </c>
      <c r="B55" s="3"/>
      <c r="C55" s="4"/>
      <c r="D55" s="1"/>
      <c r="E55" s="3"/>
      <c r="F55" s="4"/>
      <c r="G55" s="2"/>
      <c r="H55" s="19"/>
    </row>
    <row r="56" spans="1:8" ht="6.75" customHeight="1">
      <c r="A56" s="4"/>
      <c r="B56" s="3"/>
      <c r="C56" s="4"/>
      <c r="D56" s="1"/>
      <c r="E56" s="3"/>
      <c r="F56" s="4"/>
      <c r="G56" s="2"/>
      <c r="H56" s="19"/>
    </row>
    <row r="57" spans="1:8" ht="15.75" customHeight="1">
      <c r="A57" s="4"/>
      <c r="B57" s="1"/>
      <c r="C57" s="120" t="s">
        <v>412</v>
      </c>
      <c r="D57" s="1"/>
      <c r="E57" s="1"/>
      <c r="F57" s="28"/>
      <c r="G57" s="2"/>
      <c r="H57" s="19"/>
    </row>
    <row r="58" spans="1:8" ht="6.75" customHeight="1">
      <c r="A58" s="4"/>
      <c r="B58" s="1"/>
      <c r="C58" s="28"/>
      <c r="D58" s="1"/>
      <c r="E58" s="1"/>
      <c r="F58" s="28"/>
      <c r="G58" s="2"/>
      <c r="H58" s="19"/>
    </row>
    <row r="59" spans="1:8" ht="15.75" customHeight="1">
      <c r="A59" s="4"/>
      <c r="B59" s="1"/>
      <c r="C59" s="120" t="s">
        <v>413</v>
      </c>
      <c r="D59" s="1"/>
      <c r="E59" s="1"/>
      <c r="F59" s="28"/>
      <c r="G59" s="2"/>
      <c r="H59" s="19"/>
    </row>
    <row r="60" spans="1:8" ht="6.75" customHeight="1">
      <c r="A60" s="4"/>
      <c r="B60" s="3"/>
      <c r="C60" s="4"/>
      <c r="D60" s="1"/>
      <c r="E60" s="3"/>
      <c r="F60" s="4"/>
      <c r="G60" s="2"/>
      <c r="H60" s="19"/>
    </row>
    <row r="61" spans="1:8" ht="15.75" customHeight="1">
      <c r="A61" s="4" t="s">
        <v>837</v>
      </c>
      <c r="B61" s="3"/>
      <c r="C61" s="4"/>
      <c r="D61" s="1"/>
      <c r="E61" s="3"/>
      <c r="F61" s="4"/>
      <c r="G61" s="2"/>
      <c r="H61" s="19"/>
    </row>
    <row r="62" spans="1:8" ht="15.75" customHeight="1">
      <c r="A62" s="4" t="s">
        <v>834</v>
      </c>
      <c r="B62" s="3"/>
      <c r="C62" s="4"/>
      <c r="D62" s="1"/>
      <c r="E62" s="3"/>
      <c r="F62" s="4"/>
      <c r="G62" s="2"/>
      <c r="H62" s="19"/>
    </row>
    <row r="63" spans="1:8" ht="15.75" customHeight="1">
      <c r="A63" s="4" t="s">
        <v>835</v>
      </c>
      <c r="B63" s="3"/>
      <c r="C63" s="4"/>
      <c r="D63" s="1"/>
      <c r="E63" s="3"/>
      <c r="F63" s="4"/>
      <c r="G63" s="2"/>
      <c r="H63" s="19"/>
    </row>
    <row r="64" spans="1:8" ht="15.75" customHeight="1">
      <c r="A64" s="4" t="s">
        <v>836</v>
      </c>
      <c r="B64" s="3"/>
      <c r="C64" s="4"/>
      <c r="D64" s="1"/>
      <c r="E64" s="3"/>
      <c r="F64" s="4"/>
      <c r="G64" s="2"/>
      <c r="H64" s="19"/>
    </row>
    <row r="65" spans="1:8" ht="6.75" customHeight="1">
      <c r="A65" s="4"/>
      <c r="B65" s="3"/>
      <c r="C65" s="4"/>
      <c r="D65" s="1"/>
      <c r="E65" s="3"/>
      <c r="F65" s="4"/>
      <c r="G65" s="2"/>
      <c r="H65" s="19"/>
    </row>
    <row r="66" spans="1:8" ht="15.75" customHeight="1">
      <c r="A66" s="4"/>
      <c r="B66" s="1"/>
      <c r="C66" s="120" t="s">
        <v>417</v>
      </c>
      <c r="D66" s="288" t="s">
        <v>418</v>
      </c>
      <c r="E66" s="1"/>
      <c r="F66" s="28"/>
      <c r="G66" s="2"/>
      <c r="H66" s="19"/>
    </row>
    <row r="67" spans="1:8" ht="6.75" customHeight="1">
      <c r="A67" s="4"/>
      <c r="B67" s="1"/>
      <c r="C67" s="28"/>
      <c r="D67" s="1"/>
      <c r="E67" s="1"/>
      <c r="F67" s="28"/>
      <c r="G67" s="2"/>
      <c r="H67" s="19"/>
    </row>
    <row r="68" spans="1:9" ht="15.75" customHeight="1">
      <c r="A68" s="4" t="s">
        <v>1915</v>
      </c>
      <c r="B68" s="14" t="s">
        <v>375</v>
      </c>
      <c r="D68" s="3">
        <f>+PI()*(E7^2)/4</f>
        <v>0.031415926535897934</v>
      </c>
      <c r="E68" s="28" t="s">
        <v>838</v>
      </c>
      <c r="F68" s="14" t="s">
        <v>376</v>
      </c>
      <c r="H68" s="3">
        <f>+PI()*(E8^2)/4</f>
        <v>0.007853981633974483</v>
      </c>
      <c r="I68" s="28" t="s">
        <v>108</v>
      </c>
    </row>
    <row r="69" spans="1:9" ht="6" customHeight="1">
      <c r="A69" s="4"/>
      <c r="B69" s="14"/>
      <c r="D69" s="3"/>
      <c r="E69" s="28"/>
      <c r="F69" s="14"/>
      <c r="H69" s="3"/>
      <c r="I69" s="28"/>
    </row>
    <row r="70" spans="1:9" ht="15.75" customHeight="1">
      <c r="A70" s="4" t="s">
        <v>839</v>
      </c>
      <c r="B70" s="14"/>
      <c r="D70" s="3"/>
      <c r="E70" s="28"/>
      <c r="F70" s="14"/>
      <c r="H70" s="3"/>
      <c r="I70" s="28"/>
    </row>
    <row r="71" spans="1:8" ht="6.75" customHeight="1">
      <c r="A71" s="4"/>
      <c r="B71" s="3"/>
      <c r="C71" s="4"/>
      <c r="D71" s="1"/>
      <c r="E71" s="3"/>
      <c r="F71" s="4"/>
      <c r="G71" s="2"/>
      <c r="H71" s="19"/>
    </row>
    <row r="72" spans="1:8" ht="15.75" customHeight="1">
      <c r="A72" s="4"/>
      <c r="B72" s="74" t="s">
        <v>1328</v>
      </c>
      <c r="C72" s="10"/>
      <c r="D72" s="10"/>
      <c r="E72" s="74"/>
      <c r="F72" s="8">
        <f>+D68*H68/SQRT(D68^2-H68^2)*SQRT(2*E5*B8*(B7-B5)/B5)</f>
        <v>0.049385197000335966</v>
      </c>
      <c r="G72" s="9" t="s">
        <v>2374</v>
      </c>
      <c r="H72" s="19"/>
    </row>
    <row r="73" spans="1:8" ht="6.75" customHeight="1">
      <c r="A73" s="4"/>
      <c r="B73" s="3"/>
      <c r="C73" s="4"/>
      <c r="D73" s="1"/>
      <c r="E73" s="3"/>
      <c r="F73" s="4"/>
      <c r="G73" s="2"/>
      <c r="H73" s="19"/>
    </row>
    <row r="74" spans="1:8" ht="15.75" customHeight="1">
      <c r="A74" s="4" t="s">
        <v>358</v>
      </c>
      <c r="B74" s="3"/>
      <c r="C74" s="4"/>
      <c r="D74" s="1"/>
      <c r="E74" s="3"/>
      <c r="F74" s="4"/>
      <c r="G74" s="2"/>
      <c r="H74" s="19"/>
    </row>
    <row r="75" spans="1:8" ht="15.75" customHeight="1">
      <c r="A75" s="4" t="s">
        <v>2</v>
      </c>
      <c r="B75" s="3"/>
      <c r="C75" s="4"/>
      <c r="D75" s="1"/>
      <c r="E75" s="3"/>
      <c r="F75" s="4"/>
      <c r="G75" s="2"/>
      <c r="H75" s="19"/>
    </row>
    <row r="76" spans="1:8" ht="15.75" customHeight="1">
      <c r="A76" s="4" t="s">
        <v>852</v>
      </c>
      <c r="B76" s="3"/>
      <c r="C76" s="4"/>
      <c r="D76" s="1"/>
      <c r="E76" s="3"/>
      <c r="F76" s="4"/>
      <c r="G76" s="2"/>
      <c r="H76" s="19"/>
    </row>
    <row r="77" spans="1:8" ht="6" customHeight="1">
      <c r="A77" s="4"/>
      <c r="B77" s="3"/>
      <c r="C77" s="4"/>
      <c r="D77" s="1"/>
      <c r="E77" s="3"/>
      <c r="F77" s="4"/>
      <c r="G77" s="2"/>
      <c r="H77" s="19"/>
    </row>
    <row r="78" spans="1:8" ht="15.75" customHeight="1">
      <c r="A78" s="92" t="s">
        <v>841</v>
      </c>
      <c r="B78" s="1"/>
      <c r="C78" s="1"/>
      <c r="D78" s="1"/>
      <c r="E78" s="3"/>
      <c r="F78" s="92" t="s">
        <v>841</v>
      </c>
      <c r="G78" s="1"/>
      <c r="H78" s="19"/>
    </row>
    <row r="79" spans="1:8" ht="15.75" customHeight="1">
      <c r="A79" s="92" t="s">
        <v>842</v>
      </c>
      <c r="B79" s="1"/>
      <c r="C79" s="1"/>
      <c r="D79" s="1"/>
      <c r="E79" s="3"/>
      <c r="F79" s="92" t="s">
        <v>846</v>
      </c>
      <c r="G79" s="1"/>
      <c r="H79" s="19"/>
    </row>
    <row r="80" spans="1:8" ht="6" customHeight="1">
      <c r="A80" s="92"/>
      <c r="B80" s="1"/>
      <c r="C80" s="1"/>
      <c r="D80" s="1"/>
      <c r="E80" s="3"/>
      <c r="F80" s="1"/>
      <c r="G80" s="1"/>
      <c r="H80" s="19"/>
    </row>
    <row r="81" spans="1:9" ht="15.75" customHeight="1">
      <c r="A81" s="66" t="s">
        <v>843</v>
      </c>
      <c r="C81" s="3"/>
      <c r="D81" s="215">
        <f>4*$F$72/(PI()*E7*$B$6)</f>
        <v>314395.92872682045</v>
      </c>
      <c r="E81" s="3"/>
      <c r="F81" s="66" t="s">
        <v>847</v>
      </c>
      <c r="G81" s="1"/>
      <c r="H81" s="19"/>
      <c r="I81" s="215">
        <f>4*$F$72/(PI()*E8*$B$6)</f>
        <v>628791.8574536409</v>
      </c>
    </row>
    <row r="82" spans="1:8" ht="6" customHeight="1">
      <c r="A82" s="4"/>
      <c r="B82" s="1"/>
      <c r="C82" s="1"/>
      <c r="D82" s="1"/>
      <c r="E82" s="3"/>
      <c r="F82" s="1"/>
      <c r="G82" s="1"/>
      <c r="H82" s="19"/>
    </row>
    <row r="83" spans="1:8" ht="15.75" customHeight="1">
      <c r="A83" s="92" t="s">
        <v>848</v>
      </c>
      <c r="B83" s="4"/>
      <c r="C83" s="337"/>
      <c r="D83" s="1"/>
      <c r="E83" s="3"/>
      <c r="F83" s="92" t="s">
        <v>849</v>
      </c>
      <c r="G83" s="1"/>
      <c r="H83" s="19"/>
    </row>
    <row r="84" spans="1:8" ht="15.75" customHeight="1">
      <c r="A84" s="92" t="s">
        <v>842</v>
      </c>
      <c r="B84" s="3"/>
      <c r="C84" s="4"/>
      <c r="D84" s="1"/>
      <c r="E84" s="3"/>
      <c r="F84" s="92" t="s">
        <v>846</v>
      </c>
      <c r="G84" s="2"/>
      <c r="H84" s="19"/>
    </row>
    <row r="85" spans="1:8" ht="6" customHeight="1">
      <c r="A85" s="4"/>
      <c r="B85" s="3"/>
      <c r="C85" s="4"/>
      <c r="D85" s="1"/>
      <c r="E85" s="3"/>
      <c r="F85" s="4"/>
      <c r="G85" s="2"/>
      <c r="H85" s="19"/>
    </row>
    <row r="86" spans="2:8" ht="15.75" customHeight="1">
      <c r="B86" s="107" t="s">
        <v>844</v>
      </c>
      <c r="C86" s="106">
        <f>+H7/E7</f>
        <v>0.0025</v>
      </c>
      <c r="D86" s="1"/>
      <c r="G86" s="107" t="s">
        <v>845</v>
      </c>
      <c r="H86" s="106">
        <f>+H8/E8</f>
        <v>0</v>
      </c>
    </row>
    <row r="87" spans="2:8" ht="6" customHeight="1">
      <c r="B87" s="3"/>
      <c r="C87" s="4"/>
      <c r="D87" s="1"/>
      <c r="E87" s="3"/>
      <c r="F87" s="4"/>
      <c r="G87" s="2"/>
      <c r="H87" s="19"/>
    </row>
    <row r="88" spans="1:8" ht="15.75" customHeight="1">
      <c r="A88" s="92" t="s">
        <v>850</v>
      </c>
      <c r="B88" s="3"/>
      <c r="D88" s="1"/>
      <c r="E88" s="3"/>
      <c r="F88" s="92" t="s">
        <v>850</v>
      </c>
      <c r="G88" s="2"/>
      <c r="H88" s="19"/>
    </row>
    <row r="89" spans="1:8" ht="15.75" customHeight="1">
      <c r="A89" s="92" t="s">
        <v>851</v>
      </c>
      <c r="B89" s="3"/>
      <c r="C89" s="4"/>
      <c r="D89" s="1"/>
      <c r="E89" s="3"/>
      <c r="F89" s="92" t="s">
        <v>359</v>
      </c>
      <c r="G89" s="2"/>
      <c r="H89" s="19"/>
    </row>
    <row r="90" spans="6:8" ht="6" customHeight="1">
      <c r="F90" s="4"/>
      <c r="G90" s="2"/>
      <c r="H90" s="19"/>
    </row>
    <row r="91" spans="1:8" ht="15.75" customHeight="1">
      <c r="A91" s="4" t="s">
        <v>854</v>
      </c>
      <c r="B91" s="3"/>
      <c r="C91" s="4"/>
      <c r="D91" s="1"/>
      <c r="E91" s="3"/>
      <c r="F91" s="4" t="s">
        <v>855</v>
      </c>
      <c r="G91" s="2"/>
      <c r="H91" s="19"/>
    </row>
    <row r="92" spans="1:8" ht="15.75" customHeight="1">
      <c r="A92" s="120" t="s">
        <v>853</v>
      </c>
      <c r="F92" s="120" t="s">
        <v>856</v>
      </c>
      <c r="G92" s="2"/>
      <c r="H92" s="19"/>
    </row>
    <row r="93" spans="1:8" ht="15.75" customHeight="1">
      <c r="A93" s="4" t="s">
        <v>857</v>
      </c>
      <c r="B93" s="3"/>
      <c r="C93" s="4"/>
      <c r="D93" s="1"/>
      <c r="E93" s="3"/>
      <c r="F93" s="4" t="s">
        <v>360</v>
      </c>
      <c r="G93" s="2"/>
      <c r="H93" s="19"/>
    </row>
    <row r="94" spans="1:8" ht="15.75" customHeight="1">
      <c r="A94" s="120" t="s">
        <v>859</v>
      </c>
      <c r="B94" s="3"/>
      <c r="C94" s="4"/>
      <c r="D94" s="1"/>
      <c r="E94" s="3"/>
      <c r="F94" s="4" t="s">
        <v>861</v>
      </c>
      <c r="G94" s="2"/>
      <c r="H94" s="19"/>
    </row>
    <row r="95" spans="1:8" ht="15.75" customHeight="1">
      <c r="A95" s="4" t="s">
        <v>860</v>
      </c>
      <c r="C95" s="3"/>
      <c r="D95" s="4"/>
      <c r="E95" s="1"/>
      <c r="F95" s="4" t="s">
        <v>862</v>
      </c>
      <c r="G95" s="2"/>
      <c r="H95" s="19"/>
    </row>
    <row r="96" spans="1:8" ht="6.75" customHeight="1">
      <c r="A96" s="4"/>
      <c r="C96" s="3"/>
      <c r="D96" s="4"/>
      <c r="E96" s="1"/>
      <c r="F96" s="4"/>
      <c r="G96" s="2"/>
      <c r="H96" s="19"/>
    </row>
    <row r="97" spans="2:8" ht="15.75" customHeight="1">
      <c r="B97" s="69"/>
      <c r="C97" s="3"/>
      <c r="D97" s="4"/>
      <c r="E97" s="1"/>
      <c r="F97" s="69" t="s">
        <v>863</v>
      </c>
      <c r="G97" s="2"/>
      <c r="H97" s="19"/>
    </row>
    <row r="98" spans="2:8" ht="6" customHeight="1">
      <c r="B98" s="69"/>
      <c r="C98" s="3"/>
      <c r="D98" s="4"/>
      <c r="E98" s="1"/>
      <c r="F98" s="92"/>
      <c r="G98" s="2"/>
      <c r="H98" s="19"/>
    </row>
    <row r="99" spans="1:8" ht="15.75" customHeight="1">
      <c r="A99" s="69" t="s">
        <v>858</v>
      </c>
      <c r="B99" s="69"/>
      <c r="C99" s="3"/>
      <c r="D99" s="4"/>
      <c r="E99" s="1"/>
      <c r="F99" s="92" t="s">
        <v>361</v>
      </c>
      <c r="G99" s="2"/>
      <c r="H99" s="19"/>
    </row>
    <row r="100" spans="1:8" ht="6" customHeight="1">
      <c r="A100" s="4"/>
      <c r="B100" s="69"/>
      <c r="C100" s="3"/>
      <c r="D100" s="4"/>
      <c r="E100" s="1"/>
      <c r="F100" s="92"/>
      <c r="G100" s="2"/>
      <c r="H100" s="19"/>
    </row>
    <row r="101" spans="1:8" ht="15.75" customHeight="1">
      <c r="A101" s="4"/>
      <c r="B101" s="69"/>
      <c r="C101" s="3"/>
      <c r="D101" s="4"/>
      <c r="E101" s="1"/>
      <c r="F101" s="69" t="s">
        <v>1021</v>
      </c>
      <c r="G101" s="2"/>
      <c r="H101" s="19"/>
    </row>
    <row r="102" spans="1:8" ht="6" customHeight="1">
      <c r="A102" s="4"/>
      <c r="B102" s="69"/>
      <c r="C102" s="3"/>
      <c r="D102" s="4"/>
      <c r="E102" s="1"/>
      <c r="F102" s="92"/>
      <c r="G102" s="2"/>
      <c r="H102" s="19"/>
    </row>
    <row r="103" spans="1:8" ht="15.75" customHeight="1">
      <c r="A103" s="4" t="s">
        <v>1418</v>
      </c>
      <c r="B103" s="69"/>
      <c r="C103" s="3"/>
      <c r="D103" s="4"/>
      <c r="E103" s="1"/>
      <c r="F103" s="92"/>
      <c r="G103" s="2"/>
      <c r="H103" s="19"/>
    </row>
    <row r="104" spans="1:8" ht="15.75" customHeight="1">
      <c r="A104" s="4" t="s">
        <v>0</v>
      </c>
      <c r="B104" s="69"/>
      <c r="C104" s="3"/>
      <c r="D104" s="4"/>
      <c r="E104" s="1"/>
      <c r="F104" s="92"/>
      <c r="G104" s="2"/>
      <c r="H104" s="19"/>
    </row>
    <row r="105" spans="1:8" ht="15.75" customHeight="1">
      <c r="A105" s="4" t="s">
        <v>1</v>
      </c>
      <c r="B105" s="69"/>
      <c r="C105" s="3"/>
      <c r="D105" s="4"/>
      <c r="E105" s="1"/>
      <c r="F105" s="92"/>
      <c r="G105" s="2"/>
      <c r="H105" s="19"/>
    </row>
    <row r="106" spans="1:8" ht="6.75" customHeight="1">
      <c r="A106" s="4"/>
      <c r="B106" s="69"/>
      <c r="C106" s="3"/>
      <c r="D106" s="4"/>
      <c r="E106" s="1"/>
      <c r="F106" s="92"/>
      <c r="G106" s="2"/>
      <c r="H106" s="19"/>
    </row>
    <row r="107" spans="2:8" ht="15.75" customHeight="1">
      <c r="B107" s="107" t="s">
        <v>899</v>
      </c>
      <c r="C107" s="139">
        <v>0.025354744651455197</v>
      </c>
      <c r="D107" s="1"/>
      <c r="G107" s="107" t="s">
        <v>900</v>
      </c>
      <c r="H107" s="139">
        <v>0.012627982697442449</v>
      </c>
    </row>
    <row r="108" spans="1:8" ht="15.75" customHeight="1">
      <c r="A108" s="125" t="s">
        <v>901</v>
      </c>
      <c r="C108" s="138">
        <f>1/SQRT(C107)+2*LOG10(2.51/(D81*SQRT(C107))+C86/3.71)</f>
        <v>-0.0003766606310975362</v>
      </c>
      <c r="D108" s="1"/>
      <c r="F108" s="125" t="s">
        <v>901</v>
      </c>
      <c r="H108" s="138">
        <f>1/SQRT(H107)+2*LOG10(2.51/(I81*SQRT(H107))+H86/3.71)</f>
        <v>-0.00016829070861668072</v>
      </c>
    </row>
    <row r="109" spans="1:7" ht="15.75" customHeight="1">
      <c r="A109" s="125" t="s">
        <v>902</v>
      </c>
      <c r="B109" s="140"/>
      <c r="C109" s="21"/>
      <c r="D109" s="18"/>
      <c r="F109" s="125" t="s">
        <v>902</v>
      </c>
      <c r="G109" s="140"/>
    </row>
    <row r="110" spans="1:8" ht="6.75" customHeight="1">
      <c r="A110" s="4"/>
      <c r="B110" s="69"/>
      <c r="C110" s="3"/>
      <c r="D110" s="4"/>
      <c r="E110" s="1"/>
      <c r="F110" s="92"/>
      <c r="G110" s="2"/>
      <c r="H110" s="19"/>
    </row>
    <row r="111" spans="1:8" ht="15.75" customHeight="1">
      <c r="A111" s="4"/>
      <c r="B111" s="69"/>
      <c r="C111" s="3"/>
      <c r="D111" s="4"/>
      <c r="E111" s="1"/>
      <c r="F111" s="92"/>
      <c r="G111" s="107" t="s">
        <v>900</v>
      </c>
      <c r="H111" s="139">
        <f>0.316*(I81^(-0.25))</f>
        <v>0.011221743957171936</v>
      </c>
    </row>
    <row r="112" spans="1:8" ht="15.75" customHeight="1">
      <c r="A112" s="4"/>
      <c r="B112" s="3"/>
      <c r="C112" s="4"/>
      <c r="D112" s="1"/>
      <c r="E112" s="3"/>
      <c r="F112" s="125" t="s">
        <v>1419</v>
      </c>
      <c r="G112" s="2"/>
      <c r="H112" s="19"/>
    </row>
    <row r="113" spans="1:8" ht="6" customHeight="1">
      <c r="A113" s="4"/>
      <c r="B113" s="3"/>
      <c r="C113" s="4"/>
      <c r="D113" s="1"/>
      <c r="E113" s="3"/>
      <c r="F113" s="125"/>
      <c r="G113" s="2"/>
      <c r="H113" s="19"/>
    </row>
    <row r="114" spans="1:8" ht="15.75" customHeight="1">
      <c r="A114" s="92" t="s">
        <v>3</v>
      </c>
      <c r="B114" s="3"/>
      <c r="D114" s="1"/>
      <c r="E114" s="3"/>
      <c r="F114" s="92" t="s">
        <v>9</v>
      </c>
      <c r="G114" s="2"/>
      <c r="H114" s="19"/>
    </row>
    <row r="115" spans="1:8" ht="15.75" customHeight="1">
      <c r="A115" s="92" t="s">
        <v>4</v>
      </c>
      <c r="B115" s="3"/>
      <c r="C115" s="4"/>
      <c r="D115" s="1"/>
      <c r="E115" s="3"/>
      <c r="F115" s="92" t="s">
        <v>10</v>
      </c>
      <c r="G115" s="2"/>
      <c r="H115" s="19"/>
    </row>
    <row r="116" spans="1:8" ht="15.75" customHeight="1">
      <c r="A116" s="92"/>
      <c r="B116" s="3"/>
      <c r="C116" s="4"/>
      <c r="D116" s="1"/>
      <c r="E116" s="3"/>
      <c r="F116" s="92" t="s">
        <v>11</v>
      </c>
      <c r="G116" s="2"/>
      <c r="H116" s="19"/>
    </row>
    <row r="117" spans="1:8" ht="6" customHeight="1">
      <c r="A117" s="4"/>
      <c r="B117" s="3"/>
      <c r="C117" s="4"/>
      <c r="D117" s="1"/>
      <c r="E117" s="3"/>
      <c r="F117" s="125"/>
      <c r="G117" s="2"/>
      <c r="H117" s="19"/>
    </row>
    <row r="118" spans="1:8" ht="15.75" customHeight="1">
      <c r="A118" s="120" t="s">
        <v>5</v>
      </c>
      <c r="B118" s="3"/>
      <c r="C118" s="4"/>
      <c r="D118" s="1"/>
      <c r="E118" s="3"/>
      <c r="F118" s="120" t="s">
        <v>6</v>
      </c>
      <c r="G118" s="2"/>
      <c r="H118" s="19"/>
    </row>
    <row r="119" spans="1:9" ht="15.75" customHeight="1">
      <c r="A119" s="4"/>
      <c r="B119" s="336" t="s">
        <v>7</v>
      </c>
      <c r="C119" s="3">
        <f>+(C107/E7)*(F72^2)/(2*E5*(D68^2))*H5</f>
        <v>0.09584124505879657</v>
      </c>
      <c r="D119" s="4" t="s">
        <v>699</v>
      </c>
      <c r="E119" s="3"/>
      <c r="F119" s="125"/>
      <c r="G119" s="336" t="s">
        <v>7</v>
      </c>
      <c r="H119" s="3">
        <f>+(H107/E8)*(F72^2)/(2*E5*(H68^2))*H6</f>
        <v>2.0366476428833917</v>
      </c>
      <c r="I119" s="4" t="s">
        <v>699</v>
      </c>
    </row>
    <row r="120" spans="1:9" ht="6.75" customHeight="1">
      <c r="A120" s="4"/>
      <c r="B120" s="336"/>
      <c r="D120" s="4"/>
      <c r="E120" s="3"/>
      <c r="F120" s="125"/>
      <c r="G120" s="336"/>
      <c r="I120" s="4"/>
    </row>
    <row r="121" spans="1:8" ht="15.75" customHeight="1">
      <c r="A121" s="4"/>
      <c r="B121" s="336"/>
      <c r="D121" s="4"/>
      <c r="E121" s="3"/>
      <c r="F121" s="92" t="s">
        <v>9</v>
      </c>
      <c r="G121" s="2"/>
      <c r="H121" s="19"/>
    </row>
    <row r="122" spans="1:8" ht="15.75" customHeight="1">
      <c r="A122" s="4"/>
      <c r="B122" s="336"/>
      <c r="D122" s="4"/>
      <c r="E122" s="3"/>
      <c r="F122" s="92" t="s">
        <v>10</v>
      </c>
      <c r="G122" s="2"/>
      <c r="H122" s="19"/>
    </row>
    <row r="123" spans="1:8" ht="15.75" customHeight="1">
      <c r="A123" s="4"/>
      <c r="B123" s="336"/>
      <c r="D123" s="4"/>
      <c r="E123" s="3"/>
      <c r="F123" s="92" t="s">
        <v>12</v>
      </c>
      <c r="G123" s="2"/>
      <c r="H123" s="19"/>
    </row>
    <row r="124" spans="1:8" ht="6.75" customHeight="1">
      <c r="A124" s="4"/>
      <c r="B124" s="336"/>
      <c r="D124" s="4"/>
      <c r="E124" s="3"/>
      <c r="F124" s="125"/>
      <c r="G124" s="2"/>
      <c r="H124" s="19"/>
    </row>
    <row r="125" spans="1:8" ht="15.75" customHeight="1">
      <c r="A125" s="4"/>
      <c r="B125" s="336"/>
      <c r="D125" s="4"/>
      <c r="E125" s="3"/>
      <c r="F125" s="120" t="s">
        <v>6</v>
      </c>
      <c r="G125" s="2"/>
      <c r="H125" s="19"/>
    </row>
    <row r="126" spans="1:9" ht="15.75" customHeight="1">
      <c r="A126" s="4"/>
      <c r="B126" s="336"/>
      <c r="D126" s="4"/>
      <c r="E126" s="3"/>
      <c r="F126" s="125"/>
      <c r="G126" s="336" t="s">
        <v>7</v>
      </c>
      <c r="H126" s="3">
        <f>+(H111/E8)*(F72^2)/(2*E5*(H68^2))*H6</f>
        <v>1.8098487246141024</v>
      </c>
      <c r="I126" s="4" t="s">
        <v>699</v>
      </c>
    </row>
    <row r="127" spans="1:8" ht="6" customHeight="1">
      <c r="A127" s="4"/>
      <c r="B127" s="3"/>
      <c r="C127" s="4"/>
      <c r="D127" s="1"/>
      <c r="E127" s="3"/>
      <c r="F127" s="125"/>
      <c r="G127" s="2"/>
      <c r="H127" s="19"/>
    </row>
    <row r="128" spans="1:8" ht="15.75" customHeight="1">
      <c r="A128" s="4"/>
      <c r="B128" s="3"/>
      <c r="C128" s="4"/>
      <c r="D128" s="1"/>
      <c r="E128" s="3"/>
      <c r="F128" s="92" t="s">
        <v>8</v>
      </c>
      <c r="G128" s="2"/>
      <c r="H128" s="19"/>
    </row>
    <row r="129" spans="1:8" ht="6" customHeight="1">
      <c r="A129" s="4"/>
      <c r="B129" s="3"/>
      <c r="C129" s="4"/>
      <c r="D129" s="1"/>
      <c r="E129" s="3"/>
      <c r="F129" s="92"/>
      <c r="G129" s="2"/>
      <c r="H129" s="19"/>
    </row>
    <row r="130" spans="1:9" ht="15.75" customHeight="1">
      <c r="A130" s="4"/>
      <c r="B130" s="3"/>
      <c r="C130" s="4"/>
      <c r="D130" s="1"/>
      <c r="E130" s="3"/>
      <c r="F130" s="223" t="s">
        <v>13</v>
      </c>
      <c r="G130" s="2"/>
      <c r="H130" s="3">
        <f>+(F72^2)/(2*E5*(H68^2))</f>
        <v>2.0160065266163567</v>
      </c>
      <c r="I130" s="4" t="s">
        <v>699</v>
      </c>
    </row>
    <row r="131" spans="1:9" ht="6.75" customHeight="1">
      <c r="A131" s="4"/>
      <c r="B131" s="3"/>
      <c r="C131" s="4"/>
      <c r="D131" s="1"/>
      <c r="E131" s="3"/>
      <c r="F131" s="223"/>
      <c r="G131" s="2"/>
      <c r="H131" s="3"/>
      <c r="I131" s="4"/>
    </row>
    <row r="132" spans="1:9" ht="15.75" customHeight="1">
      <c r="A132" s="4" t="s">
        <v>14</v>
      </c>
      <c r="B132" s="3"/>
      <c r="C132" s="4"/>
      <c r="D132" s="1"/>
      <c r="E132" s="3"/>
      <c r="F132" s="223"/>
      <c r="G132" s="2"/>
      <c r="H132" s="3"/>
      <c r="I132" s="4"/>
    </row>
    <row r="133" spans="1:8" ht="6" customHeight="1">
      <c r="A133" s="4"/>
      <c r="B133" s="3"/>
      <c r="C133" s="4"/>
      <c r="D133" s="1"/>
      <c r="E133" s="3"/>
      <c r="F133" s="92"/>
      <c r="G133" s="2"/>
      <c r="H133" s="19"/>
    </row>
    <row r="134" spans="1:8" ht="15.75" customHeight="1">
      <c r="A134" s="74" t="s">
        <v>15</v>
      </c>
      <c r="B134" s="8"/>
      <c r="C134" s="9"/>
      <c r="D134" s="10"/>
      <c r="E134" s="8"/>
      <c r="F134" s="9"/>
      <c r="G134" s="348">
        <f>+E6-C119-H119-H130</f>
        <v>7.851504585441456</v>
      </c>
      <c r="H134" s="9" t="s">
        <v>699</v>
      </c>
    </row>
    <row r="135" spans="1:8" ht="6" customHeight="1">
      <c r="A135" s="4"/>
      <c r="B135" s="3"/>
      <c r="C135" s="4"/>
      <c r="D135" s="1"/>
      <c r="E135" s="3"/>
      <c r="F135" s="92"/>
      <c r="G135" s="2"/>
      <c r="H135" s="19"/>
    </row>
    <row r="136" spans="1:8" ht="15.75" customHeight="1">
      <c r="A136" s="92" t="s">
        <v>16</v>
      </c>
      <c r="B136" s="3"/>
      <c r="C136" s="4"/>
      <c r="D136" s="1"/>
      <c r="E136" s="3"/>
      <c r="F136" s="92"/>
      <c r="G136" s="2"/>
      <c r="H136" s="19"/>
    </row>
    <row r="137" spans="1:8" ht="6" customHeight="1">
      <c r="A137" s="4"/>
      <c r="B137" s="3"/>
      <c r="C137" s="4"/>
      <c r="D137" s="1"/>
      <c r="E137" s="3"/>
      <c r="F137" s="92"/>
      <c r="G137" s="2"/>
      <c r="H137" s="19"/>
    </row>
    <row r="138" spans="1:8" ht="15.75" customHeight="1">
      <c r="A138" s="74" t="s">
        <v>15</v>
      </c>
      <c r="B138" s="8"/>
      <c r="C138" s="9"/>
      <c r="D138" s="10"/>
      <c r="E138" s="8"/>
      <c r="F138" s="9"/>
      <c r="G138" s="348">
        <f>+E6-C119-H126-H130</f>
        <v>8.078303503710744</v>
      </c>
      <c r="H138" s="9" t="s">
        <v>699</v>
      </c>
    </row>
    <row r="139" spans="1:8" ht="6.75" customHeight="1">
      <c r="A139" s="4"/>
      <c r="B139" s="3"/>
      <c r="C139" s="4"/>
      <c r="D139" s="1"/>
      <c r="E139" s="3"/>
      <c r="F139" s="92"/>
      <c r="G139" s="2"/>
      <c r="H139" s="19"/>
    </row>
    <row r="140" spans="1:8" ht="15.75" customHeight="1">
      <c r="A140" s="92" t="s">
        <v>17</v>
      </c>
      <c r="B140" s="3"/>
      <c r="C140" s="4"/>
      <c r="D140" s="1"/>
      <c r="E140" s="3"/>
      <c r="F140" s="92"/>
      <c r="G140" s="2"/>
      <c r="H140" s="19"/>
    </row>
    <row r="141" spans="1:8" ht="6.75" customHeight="1">
      <c r="A141" s="4"/>
      <c r="B141" s="3"/>
      <c r="C141" s="4"/>
      <c r="D141" s="1"/>
      <c r="E141" s="3"/>
      <c r="F141" s="4"/>
      <c r="G141" s="2"/>
      <c r="H141" s="19"/>
    </row>
    <row r="142" spans="1:9" ht="15.75" customHeight="1">
      <c r="A142" s="120" t="s">
        <v>18</v>
      </c>
      <c r="F142" s="349">
        <f>+ABS(G134-G138)/MIN(G134,G138)</f>
        <v>0.02888604544533126</v>
      </c>
      <c r="G142" s="16"/>
      <c r="H142" s="150"/>
      <c r="I142" s="347"/>
    </row>
    <row r="143" spans="1:9" ht="6" customHeight="1">
      <c r="A143" s="12"/>
      <c r="B143" s="15"/>
      <c r="C143" s="14"/>
      <c r="D143" s="12"/>
      <c r="E143" s="12"/>
      <c r="F143" s="12"/>
      <c r="G143" s="1"/>
      <c r="H143" s="1"/>
      <c r="I143" s="1"/>
    </row>
    <row r="144" spans="1:9" ht="6" customHeight="1">
      <c r="A144" s="131"/>
      <c r="B144" s="131"/>
      <c r="C144" s="131"/>
      <c r="D144" s="87"/>
      <c r="E144" s="87"/>
      <c r="F144" s="87"/>
      <c r="G144" s="87"/>
      <c r="H144" s="87"/>
      <c r="I144" s="87"/>
    </row>
    <row r="145" spans="1:9" ht="6" customHeight="1">
      <c r="A145" s="12"/>
      <c r="B145" s="15"/>
      <c r="C145" s="14"/>
      <c r="D145" s="12"/>
      <c r="E145" s="12"/>
      <c r="F145" s="12"/>
      <c r="G145" s="12"/>
      <c r="H145" s="12"/>
      <c r="I145" s="12"/>
    </row>
    <row r="146" spans="1:9" ht="15.75" customHeight="1">
      <c r="A146" s="85" t="s">
        <v>1345</v>
      </c>
      <c r="B146" s="15"/>
      <c r="C146" s="14"/>
      <c r="D146" s="12"/>
      <c r="E146" s="12"/>
      <c r="F146" s="12"/>
      <c r="G146" s="12"/>
      <c r="H146" s="12"/>
      <c r="I146" s="12"/>
    </row>
    <row r="147" ht="6" customHeight="1">
      <c r="A147" s="1"/>
    </row>
    <row r="148" ht="15.75" customHeight="1">
      <c r="A148" s="5" t="s">
        <v>112</v>
      </c>
    </row>
    <row r="149" ht="6" customHeight="1"/>
    <row r="150" spans="1:9" ht="15.75" customHeight="1">
      <c r="A150" s="12" t="s">
        <v>892</v>
      </c>
      <c r="B150" s="15">
        <v>10</v>
      </c>
      <c r="C150" s="28" t="s">
        <v>699</v>
      </c>
      <c r="D150" s="27"/>
      <c r="E150" s="12" t="s">
        <v>894</v>
      </c>
      <c r="F150" s="15">
        <v>3</v>
      </c>
      <c r="G150" s="28" t="s">
        <v>699</v>
      </c>
      <c r="H150" s="27"/>
      <c r="I150" s="27"/>
    </row>
    <row r="151" spans="1:9" ht="15.75" customHeight="1">
      <c r="A151" s="12" t="s">
        <v>2515</v>
      </c>
      <c r="B151" s="15">
        <v>0.2</v>
      </c>
      <c r="C151" s="28" t="s">
        <v>699</v>
      </c>
      <c r="D151" s="27"/>
      <c r="E151" s="12" t="s">
        <v>2516</v>
      </c>
      <c r="F151" s="15">
        <v>0.15</v>
      </c>
      <c r="G151" s="28" t="s">
        <v>699</v>
      </c>
      <c r="H151" s="27"/>
      <c r="I151" s="27"/>
    </row>
    <row r="152" spans="1:9" ht="15.75" customHeight="1">
      <c r="A152" s="16" t="s">
        <v>1346</v>
      </c>
      <c r="B152" s="15">
        <v>0</v>
      </c>
      <c r="C152" s="28" t="s">
        <v>1347</v>
      </c>
      <c r="D152" s="27"/>
      <c r="E152" s="16" t="s">
        <v>1348</v>
      </c>
      <c r="F152" s="15">
        <v>0</v>
      </c>
      <c r="G152" s="28" t="s">
        <v>1347</v>
      </c>
      <c r="H152" s="27"/>
      <c r="I152" s="27"/>
    </row>
    <row r="153" spans="1:9" ht="15.75" customHeight="1">
      <c r="A153" s="12" t="s">
        <v>2373</v>
      </c>
      <c r="B153" s="15">
        <v>0.1</v>
      </c>
      <c r="C153" s="28" t="s">
        <v>2374</v>
      </c>
      <c r="D153" s="27"/>
      <c r="E153" s="12" t="s">
        <v>2376</v>
      </c>
      <c r="F153" s="15">
        <v>9</v>
      </c>
      <c r="G153" s="28" t="s">
        <v>699</v>
      </c>
      <c r="H153" s="27"/>
      <c r="I153" s="27"/>
    </row>
    <row r="154" spans="1:9" ht="15.75" customHeight="1">
      <c r="A154" s="16" t="s">
        <v>1349</v>
      </c>
      <c r="B154" s="12">
        <v>7845</v>
      </c>
      <c r="C154" s="28" t="s">
        <v>1350</v>
      </c>
      <c r="D154" s="27"/>
      <c r="E154" s="12" t="s">
        <v>2382</v>
      </c>
      <c r="F154" s="15">
        <v>11</v>
      </c>
      <c r="G154" s="28" t="s">
        <v>699</v>
      </c>
      <c r="H154" s="27"/>
      <c r="I154" s="27"/>
    </row>
    <row r="155" spans="1:9" ht="15.75" customHeight="1">
      <c r="A155" s="16" t="s">
        <v>1351</v>
      </c>
      <c r="B155" s="142">
        <v>2.3E-06</v>
      </c>
      <c r="C155" s="28" t="s">
        <v>1352</v>
      </c>
      <c r="D155" s="27"/>
      <c r="E155" s="12" t="s">
        <v>1353</v>
      </c>
      <c r="F155" s="143">
        <v>0.61</v>
      </c>
      <c r="G155" s="28"/>
      <c r="H155" s="27"/>
      <c r="I155" s="27"/>
    </row>
    <row r="156" spans="1:9" ht="15.75" customHeight="1">
      <c r="A156" s="12" t="s">
        <v>1017</v>
      </c>
      <c r="B156" s="12">
        <v>9.806</v>
      </c>
      <c r="C156" s="28" t="s">
        <v>1018</v>
      </c>
      <c r="D156" s="27"/>
      <c r="E156" s="16" t="s">
        <v>714</v>
      </c>
      <c r="F156" s="12">
        <v>1</v>
      </c>
      <c r="G156" s="28"/>
      <c r="H156" s="27"/>
      <c r="I156" s="27"/>
    </row>
    <row r="157" spans="1:9" ht="6" customHeight="1">
      <c r="A157" s="12"/>
      <c r="B157" s="12"/>
      <c r="C157" s="28"/>
      <c r="D157" s="27"/>
      <c r="E157" s="16"/>
      <c r="F157" s="12"/>
      <c r="G157" s="28"/>
      <c r="H157" s="27"/>
      <c r="I157" s="27"/>
    </row>
    <row r="158" spans="1:9" ht="15.75" customHeight="1">
      <c r="A158" s="76" t="s">
        <v>1354</v>
      </c>
      <c r="B158" s="27"/>
      <c r="C158" s="27"/>
      <c r="D158" s="27"/>
      <c r="E158" s="27"/>
      <c r="F158" s="27"/>
      <c r="G158" s="27"/>
      <c r="H158" s="27"/>
      <c r="I158" s="27"/>
    </row>
    <row r="159" spans="1:9" ht="6" customHeight="1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" customHeight="1">
      <c r="A160" s="5" t="s">
        <v>113</v>
      </c>
      <c r="B160" s="27"/>
      <c r="C160" s="27"/>
      <c r="D160" s="27"/>
      <c r="E160" s="27"/>
      <c r="F160" s="27"/>
      <c r="G160" s="27"/>
      <c r="H160" s="27"/>
      <c r="I160" s="27"/>
    </row>
    <row r="161" spans="1:9" ht="6" customHeight="1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.75" customHeight="1">
      <c r="A162" s="65" t="s">
        <v>1355</v>
      </c>
      <c r="B162" s="27"/>
      <c r="C162" s="27"/>
      <c r="D162" s="27"/>
      <c r="E162" s="27"/>
      <c r="F162" s="27"/>
      <c r="G162" s="27"/>
      <c r="H162" s="27"/>
      <c r="I162" s="27"/>
    </row>
    <row r="163" spans="1:9" ht="6" customHeight="1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.75" customHeight="1">
      <c r="A164" s="82" t="s">
        <v>1356</v>
      </c>
      <c r="B164" s="27"/>
      <c r="C164" s="27"/>
      <c r="D164" s="27"/>
      <c r="E164" s="27"/>
      <c r="G164" s="27"/>
      <c r="H164" s="27"/>
      <c r="I164" s="27"/>
    </row>
    <row r="165" spans="1:9" ht="6" customHeight="1">
      <c r="A165" s="82"/>
      <c r="B165" s="27"/>
      <c r="C165" s="27"/>
      <c r="D165" s="27"/>
      <c r="E165" s="27"/>
      <c r="F165" s="117"/>
      <c r="G165" s="27"/>
      <c r="H165" s="27"/>
      <c r="I165" s="27"/>
    </row>
    <row r="166" spans="1:9" ht="15.75" customHeight="1">
      <c r="A166" s="117" t="s">
        <v>1357</v>
      </c>
      <c r="B166" s="27"/>
      <c r="C166" s="27"/>
      <c r="D166" s="27"/>
      <c r="E166" s="27"/>
      <c r="F166" s="117"/>
      <c r="G166" s="27"/>
      <c r="H166" s="27"/>
      <c r="I166" s="27"/>
    </row>
    <row r="167" spans="1:9" ht="6" customHeight="1">
      <c r="A167" s="27"/>
      <c r="B167" s="82"/>
      <c r="C167" s="27"/>
      <c r="D167" s="27"/>
      <c r="E167" s="27"/>
      <c r="F167" s="27"/>
      <c r="G167" s="27"/>
      <c r="H167" s="27"/>
      <c r="I167" s="27"/>
    </row>
    <row r="168" spans="1:9" ht="15.75" customHeight="1">
      <c r="A168" s="14" t="s">
        <v>1358</v>
      </c>
      <c r="B168" s="82"/>
      <c r="C168" s="27"/>
      <c r="D168" s="27"/>
      <c r="E168" s="27"/>
      <c r="F168" s="27"/>
      <c r="G168" s="27"/>
      <c r="H168" s="27"/>
      <c r="I168" s="27"/>
    </row>
    <row r="169" spans="1:9" ht="15.75" customHeight="1">
      <c r="A169" s="14" t="s">
        <v>1359</v>
      </c>
      <c r="B169" s="82"/>
      <c r="C169" s="27"/>
      <c r="D169" s="27"/>
      <c r="E169" s="27"/>
      <c r="F169" s="27"/>
      <c r="G169" s="27"/>
      <c r="H169" s="27"/>
      <c r="I169" s="27"/>
    </row>
    <row r="170" spans="1:9" ht="6" customHeight="1">
      <c r="A170" s="144"/>
      <c r="B170" s="27"/>
      <c r="C170" s="27"/>
      <c r="D170" s="27"/>
      <c r="E170" s="27"/>
      <c r="F170" s="27"/>
      <c r="G170" s="27"/>
      <c r="H170" s="27"/>
      <c r="I170" s="27"/>
    </row>
    <row r="171" spans="1:9" ht="15.75" customHeight="1">
      <c r="A171" s="12" t="s">
        <v>1016</v>
      </c>
      <c r="B171" s="12" t="s">
        <v>1360</v>
      </c>
      <c r="C171" s="28" t="s">
        <v>699</v>
      </c>
      <c r="D171" s="28"/>
      <c r="E171" s="12" t="s">
        <v>2376</v>
      </c>
      <c r="F171" s="15">
        <f>+F153</f>
        <v>9</v>
      </c>
      <c r="G171" s="28" t="s">
        <v>699</v>
      </c>
      <c r="H171" s="27"/>
      <c r="I171" s="27"/>
    </row>
    <row r="172" spans="1:9" ht="15.75" customHeight="1">
      <c r="A172" s="12" t="s">
        <v>2278</v>
      </c>
      <c r="B172" s="12">
        <v>0</v>
      </c>
      <c r="C172" s="28" t="s">
        <v>700</v>
      </c>
      <c r="D172" s="28"/>
      <c r="E172" s="12" t="s">
        <v>1645</v>
      </c>
      <c r="F172" s="12">
        <v>0</v>
      </c>
      <c r="G172" s="28" t="s">
        <v>700</v>
      </c>
      <c r="H172" s="27"/>
      <c r="I172" s="27"/>
    </row>
    <row r="173" spans="1:9" ht="15.75" customHeight="1">
      <c r="A173" s="12" t="s">
        <v>1361</v>
      </c>
      <c r="B173" s="15">
        <v>0</v>
      </c>
      <c r="C173" s="28" t="s">
        <v>2381</v>
      </c>
      <c r="D173" s="28"/>
      <c r="E173" s="28"/>
      <c r="F173" s="12"/>
      <c r="G173" s="28"/>
      <c r="H173" s="27"/>
      <c r="I173" s="27"/>
    </row>
    <row r="174" spans="1:9" ht="6" customHeight="1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.75" customHeight="1">
      <c r="A175" s="14" t="s">
        <v>1362</v>
      </c>
      <c r="C175" s="15">
        <f>+PI()*B151^2/4</f>
        <v>0.031415926535897934</v>
      </c>
      <c r="D175" s="28" t="s">
        <v>108</v>
      </c>
      <c r="E175" s="14" t="s">
        <v>1363</v>
      </c>
      <c r="G175" s="15">
        <f>+PI()*F151^2/4</f>
        <v>0.017671458676442587</v>
      </c>
      <c r="H175" s="28" t="s">
        <v>108</v>
      </c>
      <c r="I175" s="27"/>
    </row>
    <row r="176" spans="1:9" ht="15.75" customHeight="1">
      <c r="A176" s="14" t="s">
        <v>1364</v>
      </c>
      <c r="C176" s="15">
        <f>+B153/C175</f>
        <v>3.1830988618379066</v>
      </c>
      <c r="D176" s="28" t="s">
        <v>2381</v>
      </c>
      <c r="E176" s="14" t="s">
        <v>1365</v>
      </c>
      <c r="G176" s="15">
        <f>+B153/G175</f>
        <v>5.6588424210451675</v>
      </c>
      <c r="H176" s="28" t="s">
        <v>2381</v>
      </c>
      <c r="I176" s="27"/>
    </row>
    <row r="177" spans="1:9" ht="6" customHeight="1">
      <c r="A177" s="12"/>
      <c r="B177" s="15"/>
      <c r="C177" s="28"/>
      <c r="D177" s="27"/>
      <c r="E177" s="12"/>
      <c r="F177" s="15"/>
      <c r="G177" s="28"/>
      <c r="H177" s="27"/>
      <c r="I177" s="27"/>
    </row>
    <row r="178" spans="1:9" ht="15.75" customHeight="1">
      <c r="A178" s="14" t="s">
        <v>1366</v>
      </c>
      <c r="B178" s="15"/>
      <c r="C178" s="28"/>
      <c r="D178" s="27"/>
      <c r="E178" s="12"/>
      <c r="F178" s="15"/>
      <c r="G178" s="28"/>
      <c r="H178" s="27"/>
      <c r="I178" s="27"/>
    </row>
    <row r="179" spans="1:9" ht="15.75" customHeight="1">
      <c r="A179" s="14" t="s">
        <v>1367</v>
      </c>
      <c r="B179" s="15"/>
      <c r="C179" s="28"/>
      <c r="D179" s="27"/>
      <c r="E179" s="12"/>
      <c r="F179" s="15"/>
      <c r="G179" s="28"/>
      <c r="H179" s="27"/>
      <c r="I179" s="27"/>
    </row>
    <row r="180" spans="1:9" ht="6" customHeight="1">
      <c r="A180" s="84"/>
      <c r="B180" s="15"/>
      <c r="C180" s="28"/>
      <c r="D180" s="27"/>
      <c r="E180" s="12"/>
      <c r="F180" s="15"/>
      <c r="G180" s="28"/>
      <c r="H180" s="27"/>
      <c r="I180" s="27"/>
    </row>
    <row r="181" spans="1:9" ht="15.75" customHeight="1">
      <c r="A181" s="14" t="s">
        <v>1368</v>
      </c>
      <c r="C181" s="145">
        <f>+C176*B151/B155</f>
        <v>276791.2053772093</v>
      </c>
      <c r="D181" s="27"/>
      <c r="E181" s="14" t="s">
        <v>1369</v>
      </c>
      <c r="G181" s="145">
        <f>+G176*F151/B155</f>
        <v>369054.9405029457</v>
      </c>
      <c r="H181" s="27"/>
      <c r="I181" s="27"/>
    </row>
    <row r="182" spans="1:9" ht="6" customHeight="1">
      <c r="A182" s="27"/>
      <c r="B182" s="146"/>
      <c r="C182" s="27"/>
      <c r="D182" s="27"/>
      <c r="E182" s="27"/>
      <c r="F182" s="146"/>
      <c r="G182" s="27"/>
      <c r="H182" s="27"/>
      <c r="I182" s="27"/>
    </row>
    <row r="183" spans="1:9" ht="15.75" customHeight="1">
      <c r="A183" s="14" t="s">
        <v>1314</v>
      </c>
      <c r="B183" s="146"/>
      <c r="C183" s="27"/>
      <c r="D183" s="27"/>
      <c r="E183" s="27"/>
      <c r="F183" s="146"/>
      <c r="G183" s="27"/>
      <c r="H183" s="27"/>
      <c r="I183" s="27"/>
    </row>
    <row r="184" spans="1:9" ht="5.25" customHeight="1">
      <c r="A184" s="84"/>
      <c r="B184" s="146"/>
      <c r="C184" s="27"/>
      <c r="D184" s="27"/>
      <c r="E184" s="27"/>
      <c r="F184" s="146"/>
      <c r="G184" s="27"/>
      <c r="H184" s="27"/>
      <c r="I184" s="27"/>
    </row>
    <row r="185" spans="1:9" ht="15.75" customHeight="1">
      <c r="A185" s="82" t="s">
        <v>1315</v>
      </c>
      <c r="B185" s="147"/>
      <c r="E185" s="148" t="s">
        <v>1316</v>
      </c>
      <c r="F185" s="149"/>
      <c r="G185" s="27"/>
      <c r="H185" s="27"/>
      <c r="I185" s="27"/>
    </row>
    <row r="186" spans="1:9" ht="5.25" customHeight="1">
      <c r="A186" s="27"/>
      <c r="B186" s="146"/>
      <c r="C186" s="27"/>
      <c r="D186" s="27"/>
      <c r="E186" s="27"/>
      <c r="F186" s="146"/>
      <c r="G186" s="27"/>
      <c r="H186" s="27"/>
      <c r="I186" s="27"/>
    </row>
    <row r="187" spans="1:9" ht="15.75" customHeight="1">
      <c r="A187" s="16" t="s">
        <v>899</v>
      </c>
      <c r="B187" s="150">
        <f>0.316*C181^(-0.25)</f>
        <v>0.013776820846290188</v>
      </c>
      <c r="C187" s="28"/>
      <c r="D187" s="27"/>
      <c r="E187" s="16" t="s">
        <v>900</v>
      </c>
      <c r="F187" s="150">
        <f>0.316*G181^(-0.25)</f>
        <v>0.012820776422536753</v>
      </c>
      <c r="G187" s="28"/>
      <c r="H187" s="27"/>
      <c r="I187" s="27"/>
    </row>
    <row r="188" spans="1:9" ht="6" customHeight="1">
      <c r="A188" s="16"/>
      <c r="B188" s="150"/>
      <c r="C188" s="28"/>
      <c r="D188" s="27"/>
      <c r="E188" s="16"/>
      <c r="F188" s="150"/>
      <c r="G188" s="28"/>
      <c r="H188" s="27"/>
      <c r="I188" s="27"/>
    </row>
    <row r="189" spans="1:9" ht="15.75" customHeight="1">
      <c r="A189" s="14" t="s">
        <v>1317</v>
      </c>
      <c r="B189" s="150"/>
      <c r="C189" s="28"/>
      <c r="D189" s="27"/>
      <c r="E189" s="16"/>
      <c r="F189" s="150"/>
      <c r="G189" s="28"/>
      <c r="H189" s="27"/>
      <c r="I189" s="27"/>
    </row>
    <row r="190" spans="1:9" ht="6" customHeight="1">
      <c r="A190" s="16"/>
      <c r="B190" s="150"/>
      <c r="C190" s="28"/>
      <c r="D190" s="27"/>
      <c r="E190" s="16"/>
      <c r="F190" s="150"/>
      <c r="G190" s="28"/>
      <c r="H190" s="27"/>
      <c r="I190" s="27"/>
    </row>
    <row r="191" spans="1:9" ht="15.75" customHeight="1">
      <c r="A191" s="14" t="s">
        <v>1318</v>
      </c>
      <c r="C191" s="150">
        <f>+(B187/B151)*C176^2/(2*B156)</f>
        <v>0.03558749222349977</v>
      </c>
      <c r="D191" s="27"/>
      <c r="E191" s="14" t="s">
        <v>1342</v>
      </c>
      <c r="G191" s="150">
        <f>+(F187/F151)*G176^2/(2*B156)</f>
        <v>0.13955852931243548</v>
      </c>
      <c r="H191" s="27"/>
      <c r="I191" s="27"/>
    </row>
    <row r="192" spans="1:9" ht="6" customHeight="1">
      <c r="A192" s="12"/>
      <c r="B192" s="150"/>
      <c r="C192" s="28"/>
      <c r="D192" s="27"/>
      <c r="E192" s="12"/>
      <c r="F192" s="150"/>
      <c r="G192" s="28"/>
      <c r="H192" s="27"/>
      <c r="I192" s="27"/>
    </row>
    <row r="193" spans="1:9" ht="15.75" customHeight="1">
      <c r="A193" s="14" t="s">
        <v>1319</v>
      </c>
      <c r="B193" s="150"/>
      <c r="C193" s="28"/>
      <c r="D193" s="27"/>
      <c r="E193" s="12"/>
      <c r="F193" s="150"/>
      <c r="G193" s="28"/>
      <c r="H193" s="27"/>
      <c r="I193" s="27"/>
    </row>
    <row r="194" spans="1:9" ht="6" customHeight="1">
      <c r="A194" s="12"/>
      <c r="B194" s="150"/>
      <c r="C194" s="28"/>
      <c r="D194" s="27"/>
      <c r="E194" s="12"/>
      <c r="F194" s="150"/>
      <c r="G194" s="28"/>
      <c r="H194" s="27"/>
      <c r="I194" s="27"/>
    </row>
    <row r="195" spans="2:9" ht="15.75" customHeight="1">
      <c r="B195" s="12" t="s">
        <v>1343</v>
      </c>
      <c r="C195" s="15">
        <f>+C191*B150</f>
        <v>0.3558749222349977</v>
      </c>
      <c r="D195" s="28" t="s">
        <v>699</v>
      </c>
      <c r="F195" s="12" t="s">
        <v>1344</v>
      </c>
      <c r="G195" s="15">
        <f>+G191*F150</f>
        <v>0.4186755879373064</v>
      </c>
      <c r="H195" s="28" t="s">
        <v>699</v>
      </c>
      <c r="I195" s="27"/>
    </row>
    <row r="196" spans="1:9" ht="15.75" customHeight="1">
      <c r="A196" s="100" t="s">
        <v>1320</v>
      </c>
      <c r="C196" s="15">
        <f>0.5*C176^2/(2*B156)</f>
        <v>0.25831425566576016</v>
      </c>
      <c r="D196" s="28" t="s">
        <v>699</v>
      </c>
      <c r="F196" s="16" t="s">
        <v>1370</v>
      </c>
      <c r="G196" s="15">
        <f>+G176^2/(2*B156)</f>
        <v>1.6328012209983855</v>
      </c>
      <c r="H196" s="28" t="s">
        <v>699</v>
      </c>
      <c r="I196" s="27"/>
    </row>
    <row r="197" spans="1:9" ht="6" customHeight="1">
      <c r="A197" s="27"/>
      <c r="B197" s="146"/>
      <c r="C197" s="27"/>
      <c r="D197" s="27"/>
      <c r="E197" s="27"/>
      <c r="F197" s="146"/>
      <c r="G197" s="27"/>
      <c r="H197" s="27"/>
      <c r="I197" s="27"/>
    </row>
    <row r="198" spans="1:9" ht="15.75" customHeight="1">
      <c r="A198" s="14" t="s">
        <v>1371</v>
      </c>
      <c r="B198" s="27"/>
      <c r="C198" s="27"/>
      <c r="D198" s="27"/>
      <c r="E198" s="27"/>
      <c r="F198" s="27"/>
      <c r="G198" s="27"/>
      <c r="H198" s="27"/>
      <c r="I198" s="27"/>
    </row>
    <row r="199" spans="1:9" ht="6" customHeight="1">
      <c r="A199" s="27"/>
      <c r="B199" s="28"/>
      <c r="C199" s="27"/>
      <c r="D199" s="27"/>
      <c r="E199" s="27"/>
      <c r="F199" s="118"/>
      <c r="G199" s="68"/>
      <c r="H199" s="27"/>
      <c r="I199" s="151"/>
    </row>
    <row r="200" spans="1:9" ht="15.75" customHeight="1">
      <c r="A200" s="27"/>
      <c r="B200" s="12"/>
      <c r="C200" s="74" t="s">
        <v>1372</v>
      </c>
      <c r="D200" s="152"/>
      <c r="E200" s="152"/>
      <c r="F200" s="74"/>
      <c r="G200" s="153">
        <f>+F153+G196+C196+C195+G195</f>
        <v>11.66566598683645</v>
      </c>
      <c r="H200" s="154" t="s">
        <v>699</v>
      </c>
      <c r="I200" s="151"/>
    </row>
    <row r="201" spans="1:9" ht="6" customHeight="1">
      <c r="A201" s="27"/>
      <c r="B201" s="28"/>
      <c r="C201" s="27"/>
      <c r="D201" s="27"/>
      <c r="E201" s="27"/>
      <c r="F201" s="118"/>
      <c r="G201" s="68"/>
      <c r="H201" s="27"/>
      <c r="I201" s="151"/>
    </row>
    <row r="202" spans="1:9" ht="15.75" customHeight="1">
      <c r="A202" s="82" t="s">
        <v>1373</v>
      </c>
      <c r="B202" s="28"/>
      <c r="C202" s="28"/>
      <c r="D202" s="27"/>
      <c r="E202" s="82" t="s">
        <v>1374</v>
      </c>
      <c r="F202" s="27"/>
      <c r="G202" s="27"/>
      <c r="H202" s="27"/>
      <c r="I202" s="27"/>
    </row>
    <row r="203" spans="1:9" ht="6" customHeight="1">
      <c r="A203" s="155"/>
      <c r="B203" s="27"/>
      <c r="C203" s="27"/>
      <c r="D203" s="155"/>
      <c r="E203" s="27"/>
      <c r="F203" s="27"/>
      <c r="G203" s="27"/>
      <c r="H203" s="27"/>
      <c r="I203" s="27"/>
    </row>
    <row r="204" spans="3:9" ht="15.75" customHeight="1">
      <c r="C204" s="16" t="s">
        <v>899</v>
      </c>
      <c r="D204" s="150">
        <v>0.014685442175107314</v>
      </c>
      <c r="G204" s="16" t="s">
        <v>900</v>
      </c>
      <c r="H204" s="150">
        <v>0.013911985081804322</v>
      </c>
      <c r="I204" s="27"/>
    </row>
    <row r="205" spans="1:9" ht="6" customHeight="1">
      <c r="A205" s="16"/>
      <c r="B205" s="150"/>
      <c r="C205" s="28"/>
      <c r="D205" s="27"/>
      <c r="E205" s="16"/>
      <c r="F205" s="150"/>
      <c r="G205" s="27"/>
      <c r="H205" s="27"/>
      <c r="I205" s="27"/>
    </row>
    <row r="206" spans="1:9" ht="15.75" customHeight="1">
      <c r="A206" s="84" t="s">
        <v>1375</v>
      </c>
      <c r="D206" s="145">
        <f>1/SQRT(D204)+2*LOG10(2.51/(C181*SQRT(D204)))</f>
        <v>0.0001039105997939771</v>
      </c>
      <c r="E206" s="84" t="s">
        <v>1376</v>
      </c>
      <c r="H206" s="145">
        <f>1/SQRT(H204)+2*LOG10(2.51/(G181*SQRT(H204)))</f>
        <v>1.1256776474510843E-05</v>
      </c>
      <c r="I206" s="27"/>
    </row>
    <row r="207" spans="1:9" ht="15.75" customHeight="1">
      <c r="A207" s="125" t="s">
        <v>902</v>
      </c>
      <c r="B207" s="14"/>
      <c r="C207" s="28"/>
      <c r="E207" s="125" t="s">
        <v>902</v>
      </c>
      <c r="F207" s="12"/>
      <c r="G207" s="27"/>
      <c r="H207" s="27"/>
      <c r="I207" s="27"/>
    </row>
    <row r="208" spans="1:9" ht="6" customHeight="1">
      <c r="A208" s="16"/>
      <c r="B208" s="150"/>
      <c r="C208" s="28"/>
      <c r="D208" s="27"/>
      <c r="E208" s="16"/>
      <c r="F208" s="150"/>
      <c r="G208" s="28"/>
      <c r="H208" s="27"/>
      <c r="I208" s="27"/>
    </row>
    <row r="209" spans="1:9" ht="15.75" customHeight="1">
      <c r="A209" s="14" t="s">
        <v>1317</v>
      </c>
      <c r="B209" s="12"/>
      <c r="C209" s="28"/>
      <c r="D209" s="27"/>
      <c r="E209" s="12"/>
      <c r="F209" s="12"/>
      <c r="G209" s="27"/>
      <c r="H209" s="27"/>
      <c r="I209" s="27"/>
    </row>
    <row r="210" spans="1:9" ht="6" customHeight="1">
      <c r="A210" s="146"/>
      <c r="B210" s="12"/>
      <c r="C210" s="28"/>
      <c r="D210" s="27"/>
      <c r="E210" s="146"/>
      <c r="F210" s="146"/>
      <c r="G210" s="27"/>
      <c r="H210" s="27"/>
      <c r="I210" s="27"/>
    </row>
    <row r="211" spans="1:9" ht="15.75" customHeight="1">
      <c r="A211" s="14" t="s">
        <v>1318</v>
      </c>
      <c r="C211" s="15">
        <f>+(D204/B151)*C176^2/(2*B156)</f>
        <v>0.037934590645854076</v>
      </c>
      <c r="D211" s="27"/>
      <c r="E211" s="14" t="s">
        <v>1342</v>
      </c>
      <c r="G211" s="15">
        <f>+(H204/F151)*G176^2/(2*B156)</f>
        <v>0.1514367081872095</v>
      </c>
      <c r="H211" s="27"/>
      <c r="I211" s="27"/>
    </row>
    <row r="212" spans="1:9" ht="6" customHeight="1">
      <c r="A212" s="12"/>
      <c r="B212" s="150"/>
      <c r="C212" s="28"/>
      <c r="D212" s="27"/>
      <c r="E212" s="12"/>
      <c r="F212" s="150"/>
      <c r="G212" s="28"/>
      <c r="H212" s="27"/>
      <c r="I212" s="27"/>
    </row>
    <row r="213" spans="1:9" ht="15.75" customHeight="1">
      <c r="A213" s="14" t="s">
        <v>1319</v>
      </c>
      <c r="B213" s="150"/>
      <c r="C213" s="28"/>
      <c r="D213" s="27"/>
      <c r="E213" s="12"/>
      <c r="F213" s="150"/>
      <c r="G213" s="28"/>
      <c r="H213" s="27"/>
      <c r="I213" s="27"/>
    </row>
    <row r="214" spans="1:9" ht="6" customHeight="1">
      <c r="A214" s="12"/>
      <c r="B214" s="150"/>
      <c r="C214" s="28"/>
      <c r="D214" s="27"/>
      <c r="E214" s="12"/>
      <c r="F214" s="150"/>
      <c r="G214" s="28"/>
      <c r="H214" s="27"/>
      <c r="I214" s="27"/>
    </row>
    <row r="215" spans="3:9" ht="15.75" customHeight="1">
      <c r="C215" s="12" t="s">
        <v>1343</v>
      </c>
      <c r="D215" s="15">
        <f>+C211*B150</f>
        <v>0.37934590645854077</v>
      </c>
      <c r="E215" s="28" t="s">
        <v>699</v>
      </c>
      <c r="G215" s="12" t="s">
        <v>1344</v>
      </c>
      <c r="H215" s="15">
        <f>+G211*F150</f>
        <v>0.4543101245616285</v>
      </c>
      <c r="I215" s="28" t="s">
        <v>699</v>
      </c>
    </row>
    <row r="216" spans="1:9" ht="15.75" customHeight="1">
      <c r="A216" s="100" t="s">
        <v>1377</v>
      </c>
      <c r="D216" s="15">
        <f>+C196</f>
        <v>0.25831425566576016</v>
      </c>
      <c r="E216" s="28" t="s">
        <v>699</v>
      </c>
      <c r="F216" s="16" t="s">
        <v>1378</v>
      </c>
      <c r="H216" s="15">
        <f>+G196</f>
        <v>1.6328012209983855</v>
      </c>
      <c r="I216" s="28" t="s">
        <v>699</v>
      </c>
    </row>
    <row r="217" spans="1:9" ht="6" customHeight="1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5.75" customHeight="1">
      <c r="A218" s="14" t="s">
        <v>1371</v>
      </c>
      <c r="B218" s="27"/>
      <c r="C218" s="27"/>
      <c r="D218" s="27"/>
      <c r="E218" s="27"/>
      <c r="F218" s="27"/>
      <c r="G218" s="27"/>
      <c r="H218" s="27"/>
      <c r="I218" s="27"/>
    </row>
    <row r="219" spans="1:9" ht="6" customHeight="1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5.75" customHeight="1">
      <c r="A220" s="27"/>
      <c r="B220" s="12"/>
      <c r="C220" s="74" t="s">
        <v>1372</v>
      </c>
      <c r="D220" s="152"/>
      <c r="E220" s="152"/>
      <c r="F220" s="74"/>
      <c r="G220" s="153">
        <f>+F153+H216+D216+D215+H215</f>
        <v>11.724771507684315</v>
      </c>
      <c r="H220" s="154" t="s">
        <v>699</v>
      </c>
      <c r="I220" s="27"/>
    </row>
    <row r="221" spans="1:9" ht="6" customHeight="1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5.75" customHeight="1">
      <c r="A222" s="65" t="s">
        <v>1379</v>
      </c>
      <c r="B222" s="156"/>
      <c r="C222" s="156"/>
      <c r="D222" s="156"/>
      <c r="E222" s="156"/>
      <c r="F222" s="156"/>
      <c r="G222" s="156"/>
      <c r="H222" s="156"/>
      <c r="I222" s="156"/>
    </row>
    <row r="223" spans="1:9" ht="6" customHeight="1">
      <c r="A223" s="65"/>
      <c r="B223" s="156"/>
      <c r="C223" s="156"/>
      <c r="D223" s="156"/>
      <c r="E223" s="156"/>
      <c r="F223" s="156"/>
      <c r="G223" s="156"/>
      <c r="H223" s="156"/>
      <c r="I223" s="156"/>
    </row>
    <row r="224" spans="1:9" ht="15.75" customHeight="1">
      <c r="A224" s="156"/>
      <c r="B224" s="117" t="s">
        <v>1380</v>
      </c>
      <c r="C224" s="156"/>
      <c r="D224" s="156"/>
      <c r="E224" s="156"/>
      <c r="F224" s="68"/>
      <c r="G224" s="68"/>
      <c r="H224" s="27"/>
      <c r="I224" s="69"/>
    </row>
    <row r="225" spans="1:9" ht="6" customHeight="1">
      <c r="A225" s="156"/>
      <c r="B225" s="117"/>
      <c r="C225" s="156"/>
      <c r="D225" s="156"/>
      <c r="E225" s="156"/>
      <c r="F225" s="68"/>
      <c r="G225" s="68"/>
      <c r="H225" s="27"/>
      <c r="I225" s="69"/>
    </row>
    <row r="226" spans="1:9" ht="15.75" customHeight="1">
      <c r="A226" s="14" t="s">
        <v>1381</v>
      </c>
      <c r="B226" s="117"/>
      <c r="C226" s="156"/>
      <c r="D226" s="156"/>
      <c r="E226" s="156"/>
      <c r="F226" s="68"/>
      <c r="G226" s="68"/>
      <c r="H226" s="27"/>
      <c r="I226" s="69"/>
    </row>
    <row r="227" spans="1:9" ht="6" customHeight="1">
      <c r="A227" s="156"/>
      <c r="B227" s="156"/>
      <c r="C227" s="156"/>
      <c r="D227" s="156"/>
      <c r="E227" s="156"/>
      <c r="F227" s="156"/>
      <c r="G227" s="156"/>
      <c r="H227" s="156"/>
      <c r="I227" s="156"/>
    </row>
    <row r="228" spans="1:9" ht="15.75" customHeight="1">
      <c r="A228" s="66" t="s">
        <v>1382</v>
      </c>
      <c r="D228" s="106">
        <f>+G220</f>
        <v>11.724771507684315</v>
      </c>
      <c r="E228" s="66" t="s">
        <v>699</v>
      </c>
      <c r="F228" s="68" t="s">
        <v>2382</v>
      </c>
      <c r="G228" s="106">
        <f>+F154</f>
        <v>11</v>
      </c>
      <c r="H228" s="66" t="s">
        <v>699</v>
      </c>
      <c r="I228" s="156"/>
    </row>
    <row r="229" spans="1:9" ht="6" customHeight="1">
      <c r="A229" s="157"/>
      <c r="B229" s="156"/>
      <c r="C229" s="156"/>
      <c r="D229" s="156"/>
      <c r="E229" s="156"/>
      <c r="F229" s="156"/>
      <c r="G229" s="156"/>
      <c r="H229" s="156"/>
      <c r="I229" s="156"/>
    </row>
    <row r="230" spans="1:9" ht="15.75" customHeight="1">
      <c r="A230" s="14" t="s">
        <v>1429</v>
      </c>
      <c r="B230" s="106"/>
      <c r="C230" s="68"/>
      <c r="D230" s="141"/>
      <c r="E230" s="68"/>
      <c r="F230" s="106"/>
      <c r="G230" s="68"/>
      <c r="H230" s="156"/>
      <c r="I230" s="156"/>
    </row>
    <row r="231" spans="1:9" ht="6" customHeight="1">
      <c r="A231" s="156"/>
      <c r="B231" s="156"/>
      <c r="C231" s="156"/>
      <c r="D231" s="156"/>
      <c r="E231" s="156"/>
      <c r="F231" s="156"/>
      <c r="G231" s="156"/>
      <c r="H231" s="156"/>
      <c r="I231" s="156"/>
    </row>
    <row r="232" spans="1:9" ht="15.75" customHeight="1">
      <c r="A232" s="66" t="s">
        <v>1430</v>
      </c>
      <c r="C232" s="106">
        <f>0.1*C176^2/(2*B156)</f>
        <v>0.051662851133152034</v>
      </c>
      <c r="D232" s="66" t="s">
        <v>699</v>
      </c>
      <c r="E232" s="27"/>
      <c r="F232" s="27"/>
      <c r="G232" s="27"/>
      <c r="H232" s="156"/>
      <c r="I232" s="156"/>
    </row>
    <row r="233" spans="1:9" ht="6" customHeight="1">
      <c r="A233" s="156"/>
      <c r="B233" s="156"/>
      <c r="C233" s="156"/>
      <c r="D233" s="156"/>
      <c r="E233" s="156"/>
      <c r="F233" s="156"/>
      <c r="G233" s="156"/>
      <c r="H233" s="156"/>
      <c r="I233" s="156"/>
    </row>
    <row r="234" spans="1:9" ht="15.75" customHeight="1">
      <c r="A234" s="66" t="s">
        <v>1431</v>
      </c>
      <c r="B234" s="106"/>
      <c r="C234" s="68"/>
      <c r="D234" s="141"/>
      <c r="H234" s="156"/>
      <c r="I234" s="156"/>
    </row>
    <row r="235" spans="1:9" ht="6" customHeight="1">
      <c r="A235" s="125"/>
      <c r="B235" s="106"/>
      <c r="C235" s="68"/>
      <c r="D235" s="141"/>
      <c r="E235" s="68"/>
      <c r="F235" s="106"/>
      <c r="G235" s="66"/>
      <c r="H235" s="156"/>
      <c r="I235" s="156"/>
    </row>
    <row r="236" spans="1:9" ht="15.75" customHeight="1">
      <c r="A236" s="66" t="s">
        <v>1432</v>
      </c>
      <c r="C236" s="106">
        <f>+B153/(F155*PI()*B151^2/4)</f>
        <v>5.218194855471978</v>
      </c>
      <c r="D236" s="66" t="s">
        <v>2381</v>
      </c>
      <c r="F236" s="16" t="s">
        <v>1433</v>
      </c>
      <c r="G236" s="106">
        <f>+C236^2/(2*B156)</f>
        <v>1.3884130914579962</v>
      </c>
      <c r="H236" s="66" t="s">
        <v>699</v>
      </c>
      <c r="I236" s="156"/>
    </row>
    <row r="237" spans="1:9" ht="6" customHeight="1">
      <c r="A237" s="66"/>
      <c r="C237" s="106"/>
      <c r="D237" s="66"/>
      <c r="F237" s="16"/>
      <c r="G237" s="106"/>
      <c r="H237" s="66"/>
      <c r="I237" s="156"/>
    </row>
    <row r="238" spans="1:9" ht="15.75" customHeight="1">
      <c r="A238" s="66" t="s">
        <v>1434</v>
      </c>
      <c r="C238" s="106"/>
      <c r="D238" s="66"/>
      <c r="F238" s="16"/>
      <c r="G238" s="106"/>
      <c r="H238" s="66"/>
      <c r="I238" s="156"/>
    </row>
    <row r="239" spans="1:9" ht="6" customHeight="1">
      <c r="A239" s="156"/>
      <c r="B239" s="156"/>
      <c r="C239" s="156"/>
      <c r="D239" s="156"/>
      <c r="E239" s="156"/>
      <c r="F239" s="156"/>
      <c r="G239" s="156"/>
      <c r="H239" s="156"/>
      <c r="I239" s="156"/>
    </row>
    <row r="240" spans="1:9" ht="15.75" customHeight="1">
      <c r="A240" s="158"/>
      <c r="B240" s="12"/>
      <c r="C240" s="69" t="s">
        <v>1435</v>
      </c>
      <c r="D240" s="156"/>
      <c r="E240" s="156"/>
      <c r="G240" s="124">
        <f>+B154*(D228-(F154+C236^2/(2*B156)+0.1*C176^2/(2*B156)))</f>
        <v>-5611.5632918441115</v>
      </c>
      <c r="H240" s="69" t="s">
        <v>700</v>
      </c>
      <c r="I240" s="156"/>
    </row>
    <row r="241" spans="1:9" ht="6" customHeight="1">
      <c r="A241" s="158"/>
      <c r="B241" s="156"/>
      <c r="C241" s="156"/>
      <c r="D241" s="156"/>
      <c r="E241" s="156"/>
      <c r="F241" s="156"/>
      <c r="G241" s="156"/>
      <c r="H241" s="156"/>
      <c r="I241" s="156"/>
    </row>
    <row r="242" spans="1:9" ht="15.75" customHeight="1">
      <c r="A242" s="156"/>
      <c r="B242" s="159" t="s">
        <v>1436</v>
      </c>
      <c r="C242" s="160">
        <f>+G240/B154</f>
        <v>-0.7153044349068338</v>
      </c>
      <c r="D242" s="161" t="s">
        <v>699</v>
      </c>
      <c r="E242" s="68" t="s">
        <v>1437</v>
      </c>
      <c r="F242" s="106">
        <f>+-101325/B154</f>
        <v>-12.915869980879542</v>
      </c>
      <c r="G242" s="69" t="s">
        <v>699</v>
      </c>
      <c r="H242" s="156"/>
      <c r="I242" s="156"/>
    </row>
    <row r="243" spans="1:9" ht="6" customHeight="1">
      <c r="A243" s="156"/>
      <c r="B243" s="156"/>
      <c r="C243" s="156"/>
      <c r="D243" s="156"/>
      <c r="E243" s="156"/>
      <c r="F243" s="156"/>
      <c r="G243" s="156"/>
      <c r="H243" s="156"/>
      <c r="I243" s="156"/>
    </row>
    <row r="244" spans="1:9" ht="15.75" customHeight="1">
      <c r="A244" s="14" t="s">
        <v>1438</v>
      </c>
      <c r="B244" s="27"/>
      <c r="C244" s="27"/>
      <c r="D244" s="27"/>
      <c r="E244" s="27"/>
      <c r="F244" s="162"/>
      <c r="G244" s="162"/>
      <c r="H244" s="162"/>
      <c r="I244" s="27"/>
    </row>
    <row r="245" spans="1:9" ht="15.75" customHeight="1">
      <c r="A245" s="14" t="s">
        <v>1439</v>
      </c>
      <c r="B245" s="27"/>
      <c r="C245" s="27"/>
      <c r="D245" s="27"/>
      <c r="E245" s="27"/>
      <c r="F245" s="27"/>
      <c r="G245" s="27"/>
      <c r="H245" s="27"/>
      <c r="I245" s="27"/>
    </row>
    <row r="246" spans="1:9" ht="15.75" customHeight="1">
      <c r="A246" s="14" t="s">
        <v>2495</v>
      </c>
      <c r="B246" s="27"/>
      <c r="C246" s="27"/>
      <c r="D246" s="27"/>
      <c r="E246" s="27"/>
      <c r="F246" s="27"/>
      <c r="G246" s="27"/>
      <c r="H246" s="27"/>
      <c r="I246" s="27"/>
    </row>
    <row r="247" spans="1:9" ht="15.75" customHeight="1">
      <c r="A247" s="14" t="s">
        <v>2496</v>
      </c>
      <c r="B247" s="27"/>
      <c r="C247" s="27"/>
      <c r="D247" s="27"/>
      <c r="E247" s="27"/>
      <c r="F247" s="27"/>
      <c r="G247" s="27"/>
      <c r="H247" s="27"/>
      <c r="I247" s="27"/>
    </row>
    <row r="248" spans="1:9" ht="15.75" customHeight="1">
      <c r="A248" s="14" t="s">
        <v>2497</v>
      </c>
      <c r="B248" s="27"/>
      <c r="C248" s="27"/>
      <c r="D248" s="27"/>
      <c r="E248" s="27"/>
      <c r="F248" s="27"/>
      <c r="G248" s="27"/>
      <c r="H248" s="27"/>
      <c r="I248" s="27"/>
    </row>
    <row r="249" spans="1:9" ht="6" customHeight="1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5.75" customHeight="1">
      <c r="A250" s="69" t="s">
        <v>2498</v>
      </c>
      <c r="B250" s="27"/>
      <c r="C250" s="27"/>
      <c r="D250" s="27"/>
      <c r="E250" s="27"/>
      <c r="F250" s="27"/>
      <c r="G250" s="27"/>
      <c r="H250" s="27"/>
      <c r="I250" s="27"/>
    </row>
    <row r="251" spans="1:9" ht="6" customHeight="1">
      <c r="A251" s="69"/>
      <c r="B251" s="27"/>
      <c r="C251" s="27"/>
      <c r="D251" s="27"/>
      <c r="E251" s="27"/>
      <c r="F251" s="27"/>
      <c r="G251" s="27"/>
      <c r="H251" s="27"/>
      <c r="I251" s="27"/>
    </row>
    <row r="252" spans="1:9" ht="15.75" customHeight="1">
      <c r="A252" s="28" t="s">
        <v>1035</v>
      </c>
      <c r="B252" s="27"/>
      <c r="C252" s="27"/>
      <c r="D252" s="27"/>
      <c r="F252" s="12" t="s">
        <v>1036</v>
      </c>
      <c r="G252" s="12" t="s">
        <v>1037</v>
      </c>
      <c r="H252" s="27"/>
      <c r="I252" s="27"/>
    </row>
    <row r="253" spans="1:9" ht="6" customHeight="1">
      <c r="A253" s="140"/>
      <c r="B253" s="163"/>
      <c r="C253" s="164"/>
      <c r="D253" s="140"/>
      <c r="E253" s="140"/>
      <c r="F253" s="163"/>
      <c r="G253" s="140"/>
      <c r="H253" s="140"/>
      <c r="I253" s="140"/>
    </row>
    <row r="254" spans="1:9" ht="6" customHeight="1">
      <c r="A254" s="110"/>
      <c r="B254" s="165"/>
      <c r="C254" s="165"/>
      <c r="D254" s="165"/>
      <c r="E254" s="165"/>
      <c r="F254" s="165"/>
      <c r="G254" s="165"/>
      <c r="H254" s="165"/>
      <c r="I254" s="165"/>
    </row>
    <row r="255" spans="1:9" ht="6" customHeight="1">
      <c r="A255" s="28"/>
      <c r="B255" s="27"/>
      <c r="C255" s="27"/>
      <c r="D255" s="27"/>
      <c r="E255" s="12"/>
      <c r="F255" s="12"/>
      <c r="G255" s="27"/>
      <c r="H255" s="27"/>
      <c r="I255" s="27"/>
    </row>
    <row r="256" ht="15.75" customHeight="1">
      <c r="A256" s="85" t="s">
        <v>1038</v>
      </c>
    </row>
    <row r="257" ht="6" customHeight="1">
      <c r="A257" s="1"/>
    </row>
    <row r="258" ht="15.75" customHeight="1">
      <c r="A258" s="5" t="s">
        <v>112</v>
      </c>
    </row>
    <row r="259" ht="6" customHeight="1"/>
    <row r="260" spans="1:9" ht="15.75" customHeight="1">
      <c r="A260" s="68" t="s">
        <v>892</v>
      </c>
      <c r="B260" s="106">
        <v>10</v>
      </c>
      <c r="C260" s="69" t="s">
        <v>699</v>
      </c>
      <c r="F260" s="68" t="s">
        <v>894</v>
      </c>
      <c r="G260" s="106">
        <v>3</v>
      </c>
      <c r="H260" s="69" t="s">
        <v>699</v>
      </c>
      <c r="I260" s="156"/>
    </row>
    <row r="261" spans="1:9" ht="15.75" customHeight="1">
      <c r="A261" s="68" t="s">
        <v>2515</v>
      </c>
      <c r="B261" s="106">
        <v>0.2</v>
      </c>
      <c r="C261" s="69" t="s">
        <v>699</v>
      </c>
      <c r="F261" s="68" t="s">
        <v>2516</v>
      </c>
      <c r="G261" s="106">
        <v>0.15</v>
      </c>
      <c r="H261" s="69" t="s">
        <v>699</v>
      </c>
      <c r="I261" s="156"/>
    </row>
    <row r="262" spans="1:9" ht="15.75" customHeight="1">
      <c r="A262" s="107" t="s">
        <v>895</v>
      </c>
      <c r="B262" s="166">
        <v>0.0008</v>
      </c>
      <c r="C262" s="69" t="s">
        <v>1039</v>
      </c>
      <c r="F262" s="107" t="s">
        <v>896</v>
      </c>
      <c r="G262" s="166">
        <v>0.0007</v>
      </c>
      <c r="H262" s="69" t="s">
        <v>1040</v>
      </c>
      <c r="I262" s="156"/>
    </row>
    <row r="263" spans="1:9" ht="15.75" customHeight="1">
      <c r="A263" s="68" t="s">
        <v>2373</v>
      </c>
      <c r="B263" s="106">
        <v>0.1</v>
      </c>
      <c r="C263" s="28" t="s">
        <v>2374</v>
      </c>
      <c r="F263" s="12" t="s">
        <v>2376</v>
      </c>
      <c r="G263" s="106">
        <v>9</v>
      </c>
      <c r="H263" s="69" t="s">
        <v>699</v>
      </c>
      <c r="I263" s="156"/>
    </row>
    <row r="264" spans="1:9" ht="15.75" customHeight="1">
      <c r="A264" s="16" t="s">
        <v>1349</v>
      </c>
      <c r="B264" s="68">
        <v>7845</v>
      </c>
      <c r="C264" s="28" t="s">
        <v>1350</v>
      </c>
      <c r="F264" s="68" t="s">
        <v>2382</v>
      </c>
      <c r="G264" s="106">
        <v>11</v>
      </c>
      <c r="H264" s="69" t="s">
        <v>699</v>
      </c>
      <c r="I264" s="156"/>
    </row>
    <row r="265" spans="1:9" ht="15.75" customHeight="1">
      <c r="A265" s="16" t="s">
        <v>1351</v>
      </c>
      <c r="B265" s="138">
        <v>2.3E-06</v>
      </c>
      <c r="C265" s="28" t="s">
        <v>1352</v>
      </c>
      <c r="F265" s="12" t="s">
        <v>1353</v>
      </c>
      <c r="G265" s="143">
        <v>0.61</v>
      </c>
      <c r="H265" s="156"/>
      <c r="I265" s="156"/>
    </row>
    <row r="266" spans="1:9" ht="15.75" customHeight="1">
      <c r="A266" s="68" t="s">
        <v>1017</v>
      </c>
      <c r="B266" s="68">
        <v>9.806</v>
      </c>
      <c r="C266" s="28" t="s">
        <v>1018</v>
      </c>
      <c r="F266" s="16" t="s">
        <v>714</v>
      </c>
      <c r="G266" s="12">
        <v>1</v>
      </c>
      <c r="H266" s="156"/>
      <c r="I266" s="106"/>
    </row>
    <row r="267" spans="1:9" ht="6" customHeight="1">
      <c r="A267" s="156"/>
      <c r="B267" s="156"/>
      <c r="C267" s="156"/>
      <c r="D267" s="156"/>
      <c r="E267" s="156"/>
      <c r="F267" s="156"/>
      <c r="G267" s="156"/>
      <c r="H267" s="156"/>
      <c r="I267" s="156"/>
    </row>
    <row r="268" spans="1:9" ht="15.75" customHeight="1">
      <c r="A268" s="76" t="s">
        <v>1959</v>
      </c>
      <c r="B268" s="27"/>
      <c r="C268" s="27"/>
      <c r="D268" s="27"/>
      <c r="E268" s="27"/>
      <c r="F268" s="27"/>
      <c r="G268" s="27"/>
      <c r="H268" s="27"/>
      <c r="I268" s="27"/>
    </row>
    <row r="269" spans="1:9" ht="6" customHeight="1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5.75" customHeight="1">
      <c r="A270" s="5" t="s">
        <v>113</v>
      </c>
      <c r="B270" s="27"/>
      <c r="C270" s="27"/>
      <c r="D270" s="27"/>
      <c r="E270" s="27"/>
      <c r="F270" s="27"/>
      <c r="G270" s="27"/>
      <c r="H270" s="27"/>
      <c r="I270" s="27"/>
    </row>
    <row r="271" spans="1:9" ht="6" customHeight="1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5.75" customHeight="1">
      <c r="A272" s="65" t="s">
        <v>1355</v>
      </c>
      <c r="B272" s="27"/>
      <c r="C272" s="27"/>
      <c r="D272" s="27"/>
      <c r="E272" s="27"/>
      <c r="F272" s="27"/>
      <c r="G272" s="27"/>
      <c r="H272" s="27"/>
      <c r="I272" s="27"/>
    </row>
    <row r="273" spans="1:9" ht="6" customHeight="1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.75" customHeight="1">
      <c r="A274" s="82" t="s">
        <v>1356</v>
      </c>
      <c r="B274" s="27"/>
      <c r="C274" s="27"/>
      <c r="D274" s="27"/>
      <c r="E274" s="27"/>
      <c r="G274" s="27"/>
      <c r="H274" s="27"/>
      <c r="I274" s="27"/>
    </row>
    <row r="275" spans="1:9" ht="6" customHeight="1">
      <c r="A275" s="82"/>
      <c r="B275" s="27"/>
      <c r="C275" s="27"/>
      <c r="D275" s="27"/>
      <c r="E275" s="27"/>
      <c r="F275" s="117"/>
      <c r="G275" s="27"/>
      <c r="H275" s="27"/>
      <c r="I275" s="27"/>
    </row>
    <row r="276" spans="1:9" ht="15.75" customHeight="1">
      <c r="A276" s="117" t="s">
        <v>1357</v>
      </c>
      <c r="B276" s="27"/>
      <c r="C276" s="27"/>
      <c r="E276" s="27"/>
      <c r="F276" s="117"/>
      <c r="G276" s="27"/>
      <c r="H276" s="27"/>
      <c r="I276" s="27"/>
    </row>
    <row r="277" spans="1:9" ht="6" customHeight="1">
      <c r="A277" s="27"/>
      <c r="B277" s="82"/>
      <c r="C277" s="27"/>
      <c r="D277" s="27"/>
      <c r="E277" s="27"/>
      <c r="F277" s="27"/>
      <c r="G277" s="27"/>
      <c r="H277" s="27"/>
      <c r="I277" s="27"/>
    </row>
    <row r="278" spans="1:9" ht="15.75" customHeight="1">
      <c r="A278" s="84" t="s">
        <v>42</v>
      </c>
      <c r="B278" s="82"/>
      <c r="C278" s="27"/>
      <c r="D278" s="27"/>
      <c r="E278" s="27"/>
      <c r="F278" s="27"/>
      <c r="G278" s="27"/>
      <c r="H278" s="27"/>
      <c r="I278" s="27"/>
    </row>
    <row r="279" spans="1:9" ht="15.75" customHeight="1">
      <c r="A279" s="84" t="s">
        <v>43</v>
      </c>
      <c r="B279" s="82"/>
      <c r="C279" s="27"/>
      <c r="D279" s="27"/>
      <c r="E279" s="27"/>
      <c r="F279" s="27"/>
      <c r="G279" s="27"/>
      <c r="H279" s="27"/>
      <c r="I279" s="27"/>
    </row>
    <row r="280" spans="1:9" ht="6" customHeight="1">
      <c r="A280" s="84"/>
      <c r="B280" s="82"/>
      <c r="C280" s="27"/>
      <c r="D280" s="27"/>
      <c r="E280" s="27"/>
      <c r="F280" s="27"/>
      <c r="G280" s="27"/>
      <c r="H280" s="27"/>
      <c r="I280" s="27"/>
    </row>
    <row r="281" spans="1:9" ht="15.75" customHeight="1">
      <c r="A281" s="68" t="s">
        <v>1016</v>
      </c>
      <c r="B281" s="68" t="s">
        <v>1360</v>
      </c>
      <c r="C281" s="69" t="s">
        <v>699</v>
      </c>
      <c r="D281" s="156"/>
      <c r="E281" s="68" t="s">
        <v>2376</v>
      </c>
      <c r="F281" s="106">
        <f>+G263</f>
        <v>9</v>
      </c>
      <c r="G281" s="69" t="s">
        <v>699</v>
      </c>
      <c r="H281" s="156"/>
      <c r="I281" s="156"/>
    </row>
    <row r="282" spans="1:9" ht="15.75" customHeight="1">
      <c r="A282" s="68" t="s">
        <v>2278</v>
      </c>
      <c r="B282" s="68">
        <v>0</v>
      </c>
      <c r="C282" s="69" t="s">
        <v>700</v>
      </c>
      <c r="D282" s="156"/>
      <c r="E282" s="68" t="s">
        <v>1645</v>
      </c>
      <c r="F282" s="68">
        <v>0</v>
      </c>
      <c r="G282" s="69" t="s">
        <v>700</v>
      </c>
      <c r="H282" s="156"/>
      <c r="I282" s="156"/>
    </row>
    <row r="283" spans="1:9" ht="15.75" customHeight="1">
      <c r="A283" s="68" t="s">
        <v>1361</v>
      </c>
      <c r="B283" s="106">
        <v>0</v>
      </c>
      <c r="C283" s="69" t="s">
        <v>2381</v>
      </c>
      <c r="D283" s="156"/>
      <c r="E283" s="141"/>
      <c r="F283" s="141"/>
      <c r="G283" s="156"/>
      <c r="H283" s="156"/>
      <c r="I283" s="156"/>
    </row>
    <row r="284" spans="1:9" ht="6" customHeight="1">
      <c r="A284" s="141"/>
      <c r="B284" s="156"/>
      <c r="C284" s="156"/>
      <c r="D284" s="156"/>
      <c r="E284" s="141"/>
      <c r="F284" s="156"/>
      <c r="G284" s="156"/>
      <c r="H284" s="156"/>
      <c r="I284" s="156"/>
    </row>
    <row r="285" spans="1:9" ht="15.75" customHeight="1">
      <c r="A285" s="66" t="s">
        <v>44</v>
      </c>
      <c r="C285" s="106">
        <f>+PI()*B261^2/4</f>
        <v>0.031415926535897934</v>
      </c>
      <c r="D285" s="28" t="s">
        <v>108</v>
      </c>
      <c r="E285" s="66" t="s">
        <v>45</v>
      </c>
      <c r="G285" s="106">
        <f>+PI()*G261^2/4</f>
        <v>0.017671458676442587</v>
      </c>
      <c r="H285" s="28" t="s">
        <v>108</v>
      </c>
      <c r="I285" s="156"/>
    </row>
    <row r="286" spans="1:9" ht="15.75" customHeight="1">
      <c r="A286" s="66" t="s">
        <v>46</v>
      </c>
      <c r="C286" s="106">
        <f>+B263/C285</f>
        <v>3.1830988618379066</v>
      </c>
      <c r="D286" s="69" t="s">
        <v>2381</v>
      </c>
      <c r="E286" s="66" t="s">
        <v>47</v>
      </c>
      <c r="G286" s="106">
        <f>+B263/G285</f>
        <v>5.6588424210451675</v>
      </c>
      <c r="H286" s="69" t="s">
        <v>2381</v>
      </c>
      <c r="I286" s="156"/>
    </row>
    <row r="287" spans="1:9" ht="6" customHeight="1">
      <c r="A287" s="141"/>
      <c r="B287" s="156"/>
      <c r="C287" s="156"/>
      <c r="D287" s="156"/>
      <c r="E287" s="141"/>
      <c r="F287" s="156"/>
      <c r="G287" s="156"/>
      <c r="H287" s="156"/>
      <c r="I287" s="156"/>
    </row>
    <row r="288" spans="1:9" ht="15.75" customHeight="1">
      <c r="A288" s="14" t="s">
        <v>48</v>
      </c>
      <c r="B288" s="15"/>
      <c r="C288" s="28"/>
      <c r="D288" s="27"/>
      <c r="E288" s="12"/>
      <c r="F288" s="15"/>
      <c r="G288" s="28"/>
      <c r="H288" s="27"/>
      <c r="I288" s="27"/>
    </row>
    <row r="289" spans="1:9" ht="15.75" customHeight="1">
      <c r="A289" s="84" t="s">
        <v>49</v>
      </c>
      <c r="B289" s="15"/>
      <c r="C289" s="28"/>
      <c r="D289" s="27"/>
      <c r="E289" s="12"/>
      <c r="F289" s="15"/>
      <c r="G289" s="28"/>
      <c r="H289" s="27"/>
      <c r="I289" s="27"/>
    </row>
    <row r="290" spans="1:9" ht="6" customHeight="1">
      <c r="A290" s="84"/>
      <c r="B290" s="15"/>
      <c r="C290" s="28"/>
      <c r="D290" s="27"/>
      <c r="E290" s="12"/>
      <c r="F290" s="15"/>
      <c r="G290" s="28"/>
      <c r="H290" s="27"/>
      <c r="I290" s="27"/>
    </row>
    <row r="291" spans="1:9" ht="15.75" customHeight="1">
      <c r="A291" s="66" t="s">
        <v>50</v>
      </c>
      <c r="C291" s="166">
        <f>+C286*B261/$B$265</f>
        <v>276791.2053772093</v>
      </c>
      <c r="D291" s="156"/>
      <c r="F291" s="66" t="s">
        <v>51</v>
      </c>
      <c r="H291" s="166">
        <f>+G286*G261/$B$265</f>
        <v>369054.9405029457</v>
      </c>
      <c r="I291" s="156"/>
    </row>
    <row r="292" spans="1:9" ht="15.75" customHeight="1">
      <c r="A292" s="107" t="s">
        <v>52</v>
      </c>
      <c r="C292" s="68">
        <f>+B262/B261</f>
        <v>0.004</v>
      </c>
      <c r="D292" s="75" t="s">
        <v>53</v>
      </c>
      <c r="F292" s="107" t="s">
        <v>54</v>
      </c>
      <c r="H292" s="106">
        <f>+G262/G261</f>
        <v>0.004666666666666667</v>
      </c>
      <c r="I292" s="75" t="s">
        <v>55</v>
      </c>
    </row>
    <row r="293" spans="1:9" ht="6" customHeight="1">
      <c r="A293" s="167"/>
      <c r="B293" s="141"/>
      <c r="C293" s="156"/>
      <c r="D293" s="156"/>
      <c r="E293" s="167"/>
      <c r="F293" s="141"/>
      <c r="G293" s="156"/>
      <c r="H293" s="156"/>
      <c r="I293" s="156"/>
    </row>
    <row r="294" spans="1:9" ht="15.75" customHeight="1">
      <c r="A294" s="14" t="s">
        <v>56</v>
      </c>
      <c r="B294" s="141"/>
      <c r="C294" s="156"/>
      <c r="D294" s="156"/>
      <c r="E294" s="167"/>
      <c r="F294" s="141"/>
      <c r="G294" s="156"/>
      <c r="H294" s="156"/>
      <c r="I294" s="156"/>
    </row>
    <row r="295" spans="1:9" ht="6" customHeight="1">
      <c r="A295" s="156"/>
      <c r="B295" s="141"/>
      <c r="C295" s="156"/>
      <c r="D295" s="156"/>
      <c r="E295" s="167"/>
      <c r="F295" s="141"/>
      <c r="G295" s="156"/>
      <c r="H295" s="156"/>
      <c r="I295" s="156"/>
    </row>
    <row r="296" spans="1:9" ht="15.75" customHeight="1">
      <c r="A296" s="117" t="s">
        <v>57</v>
      </c>
      <c r="B296" s="168"/>
      <c r="D296" s="169"/>
      <c r="F296" s="141"/>
      <c r="H296" s="156"/>
      <c r="I296" s="156"/>
    </row>
    <row r="297" spans="1:9" ht="6" customHeight="1">
      <c r="A297" s="117"/>
      <c r="B297" s="168"/>
      <c r="C297" s="117"/>
      <c r="D297" s="169"/>
      <c r="E297" s="156"/>
      <c r="F297" s="141"/>
      <c r="G297" s="117"/>
      <c r="H297" s="156"/>
      <c r="I297" s="156"/>
    </row>
    <row r="298" spans="1:9" ht="15.75" customHeight="1">
      <c r="A298" s="117"/>
      <c r="B298" s="168"/>
      <c r="C298" s="117" t="s">
        <v>58</v>
      </c>
      <c r="D298" s="169"/>
      <c r="E298" s="156"/>
      <c r="F298" s="141"/>
      <c r="G298" s="117" t="s">
        <v>59</v>
      </c>
      <c r="H298" s="156"/>
      <c r="I298" s="156"/>
    </row>
    <row r="299" spans="1:9" ht="6" customHeight="1">
      <c r="A299" s="169"/>
      <c r="B299" s="168"/>
      <c r="C299" s="169"/>
      <c r="D299" s="169"/>
      <c r="E299" s="156"/>
      <c r="F299" s="141"/>
      <c r="G299" s="156"/>
      <c r="H299" s="156"/>
      <c r="I299" s="156"/>
    </row>
    <row r="300" spans="1:9" ht="15.75" customHeight="1">
      <c r="A300" s="156"/>
      <c r="B300" s="141"/>
      <c r="C300" s="170" t="s">
        <v>60</v>
      </c>
      <c r="D300" s="156"/>
      <c r="E300" s="156"/>
      <c r="F300" s="141"/>
      <c r="G300" s="156"/>
      <c r="H300" s="156"/>
      <c r="I300" s="156"/>
    </row>
    <row r="301" spans="1:9" ht="6" customHeight="1">
      <c r="A301" s="156"/>
      <c r="B301" s="141"/>
      <c r="C301" s="170"/>
      <c r="D301" s="156"/>
      <c r="E301" s="156"/>
      <c r="F301" s="141"/>
      <c r="G301" s="156"/>
      <c r="H301" s="156"/>
      <c r="I301" s="156"/>
    </row>
    <row r="302" spans="1:9" ht="15.75" customHeight="1">
      <c r="A302" s="107" t="s">
        <v>899</v>
      </c>
      <c r="B302" s="139">
        <f>(-2*LOG10(5.8/C291^0.9+C292/3.71))^(-2)</f>
        <v>0.02894825990787884</v>
      </c>
      <c r="C302" s="69"/>
      <c r="D302" s="156"/>
      <c r="E302" s="16" t="s">
        <v>900</v>
      </c>
      <c r="F302" s="139">
        <f>(-2*LOG10(5.8/H291^0.9+H292/3.71))^(-2)</f>
        <v>0.03011483419167752</v>
      </c>
      <c r="G302" s="69"/>
      <c r="H302" s="156"/>
      <c r="I302" s="156"/>
    </row>
    <row r="303" spans="1:9" ht="6" customHeight="1">
      <c r="A303" s="107"/>
      <c r="B303" s="139"/>
      <c r="C303" s="69"/>
      <c r="D303" s="156"/>
      <c r="E303" s="107"/>
      <c r="F303" s="139"/>
      <c r="G303" s="69"/>
      <c r="H303" s="156"/>
      <c r="I303" s="156"/>
    </row>
    <row r="304" spans="1:9" ht="15.75" customHeight="1">
      <c r="A304" s="14" t="s">
        <v>1317</v>
      </c>
      <c r="B304" s="139"/>
      <c r="C304" s="69"/>
      <c r="D304" s="156"/>
      <c r="E304" s="107"/>
      <c r="F304" s="139"/>
      <c r="G304" s="69"/>
      <c r="H304" s="156"/>
      <c r="I304" s="156"/>
    </row>
    <row r="305" spans="1:9" ht="6" customHeight="1">
      <c r="A305" s="107"/>
      <c r="B305" s="139"/>
      <c r="C305" s="69"/>
      <c r="D305" s="156"/>
      <c r="E305" s="107"/>
      <c r="F305" s="139"/>
      <c r="G305" s="69"/>
      <c r="H305" s="156"/>
      <c r="I305" s="156"/>
    </row>
    <row r="306" spans="1:9" ht="15.75" customHeight="1">
      <c r="A306" s="14" t="s">
        <v>1318</v>
      </c>
      <c r="C306" s="139">
        <f>+(B302/B261)*C286^2/(2*B266)</f>
        <v>0.07477748210922688</v>
      </c>
      <c r="D306" s="156"/>
      <c r="F306" s="14" t="s">
        <v>1342</v>
      </c>
      <c r="G306" s="69"/>
      <c r="H306" s="139">
        <f>+(F302/G261)*G286^2/(2*B266)</f>
        <v>0.3278102535888999</v>
      </c>
      <c r="I306" s="156"/>
    </row>
    <row r="307" spans="1:9" ht="6" customHeight="1">
      <c r="A307" s="107"/>
      <c r="B307" s="139"/>
      <c r="C307" s="69"/>
      <c r="D307" s="156"/>
      <c r="E307" s="107"/>
      <c r="F307" s="139"/>
      <c r="G307" s="69"/>
      <c r="H307" s="156"/>
      <c r="I307" s="151"/>
    </row>
    <row r="308" spans="1:9" ht="15.75" customHeight="1">
      <c r="A308" s="14" t="s">
        <v>1319</v>
      </c>
      <c r="B308" s="139"/>
      <c r="C308" s="69"/>
      <c r="D308" s="156"/>
      <c r="E308" s="12"/>
      <c r="F308" s="139"/>
      <c r="G308" s="69"/>
      <c r="H308" s="156"/>
      <c r="I308" s="156"/>
    </row>
    <row r="309" spans="1:9" ht="6" customHeight="1">
      <c r="A309" s="107"/>
      <c r="B309" s="139"/>
      <c r="C309" s="69"/>
      <c r="D309" s="156"/>
      <c r="E309" s="107"/>
      <c r="F309" s="139"/>
      <c r="G309" s="69"/>
      <c r="H309" s="156"/>
      <c r="I309" s="156"/>
    </row>
    <row r="310" spans="2:9" ht="15.75" customHeight="1">
      <c r="B310" s="12" t="s">
        <v>1343</v>
      </c>
      <c r="C310" s="106">
        <f>+C306*B260</f>
        <v>0.7477748210922688</v>
      </c>
      <c r="D310" s="69" t="s">
        <v>699</v>
      </c>
      <c r="F310" s="12" t="s">
        <v>1344</v>
      </c>
      <c r="G310" s="106">
        <f>+H306*G260</f>
        <v>0.9834307607666998</v>
      </c>
      <c r="H310" s="69" t="s">
        <v>699</v>
      </c>
      <c r="I310" s="156"/>
    </row>
    <row r="311" spans="1:9" ht="15.75" customHeight="1">
      <c r="A311" s="100" t="s">
        <v>61</v>
      </c>
      <c r="C311" s="106">
        <f>0.5*C286^2/(2*B266)</f>
        <v>0.25831425566576016</v>
      </c>
      <c r="D311" s="69" t="s">
        <v>699</v>
      </c>
      <c r="E311" s="16" t="s">
        <v>62</v>
      </c>
      <c r="G311" s="106">
        <f>+G286^2/(2*B266)</f>
        <v>1.6328012209983855</v>
      </c>
      <c r="H311" s="69" t="s">
        <v>699</v>
      </c>
      <c r="I311" s="156"/>
    </row>
    <row r="312" spans="1:9" ht="6" customHeight="1">
      <c r="A312" s="156"/>
      <c r="B312" s="141"/>
      <c r="C312" s="156"/>
      <c r="D312" s="156"/>
      <c r="E312" s="156"/>
      <c r="F312" s="141"/>
      <c r="G312" s="156"/>
      <c r="H312" s="156"/>
      <c r="I312" s="156"/>
    </row>
    <row r="313" spans="1:9" ht="15.75" customHeight="1">
      <c r="A313" s="14" t="s">
        <v>1371</v>
      </c>
      <c r="B313" s="141"/>
      <c r="C313" s="156"/>
      <c r="D313" s="156"/>
      <c r="E313" s="156"/>
      <c r="F313" s="141"/>
      <c r="G313" s="156"/>
      <c r="H313" s="156"/>
      <c r="I313" s="156"/>
    </row>
    <row r="314" spans="1:9" ht="6" customHeight="1">
      <c r="A314" s="156"/>
      <c r="B314" s="141"/>
      <c r="C314" s="156"/>
      <c r="D314" s="156"/>
      <c r="E314" s="156"/>
      <c r="F314" s="141"/>
      <c r="G314" s="156"/>
      <c r="H314" s="156"/>
      <c r="I314" s="156"/>
    </row>
    <row r="315" spans="1:9" ht="15.75" customHeight="1">
      <c r="A315" s="156"/>
      <c r="B315" s="1"/>
      <c r="C315" s="74" t="s">
        <v>1372</v>
      </c>
      <c r="D315" s="171"/>
      <c r="E315" s="171"/>
      <c r="F315" s="74"/>
      <c r="G315" s="153">
        <f>+G263+G311+C311+C310+G310</f>
        <v>12.622321058523115</v>
      </c>
      <c r="H315" s="154" t="s">
        <v>699</v>
      </c>
      <c r="I315" s="156"/>
    </row>
    <row r="316" spans="1:9" ht="6" customHeight="1">
      <c r="A316" s="156"/>
      <c r="B316" s="172"/>
      <c r="C316" s="156"/>
      <c r="D316" s="156"/>
      <c r="E316" s="156"/>
      <c r="F316" s="172"/>
      <c r="G316" s="156"/>
      <c r="H316" s="156"/>
      <c r="I316" s="156"/>
    </row>
    <row r="317" spans="1:9" ht="15.75" customHeight="1">
      <c r="A317" s="117" t="s">
        <v>63</v>
      </c>
      <c r="B317" s="156"/>
      <c r="C317" s="156"/>
      <c r="D317" s="156"/>
      <c r="E317" s="117" t="s">
        <v>64</v>
      </c>
      <c r="F317" s="156"/>
      <c r="G317" s="156"/>
      <c r="H317" s="156"/>
      <c r="I317" s="156"/>
    </row>
    <row r="318" spans="1:9" ht="6" customHeight="1">
      <c r="A318" s="164"/>
      <c r="B318" s="156"/>
      <c r="C318" s="156"/>
      <c r="D318" s="164"/>
      <c r="E318" s="156"/>
      <c r="F318" s="156"/>
      <c r="G318" s="156"/>
      <c r="H318" s="156"/>
      <c r="I318" s="156"/>
    </row>
    <row r="319" spans="2:9" ht="15.75" customHeight="1">
      <c r="B319" s="16" t="s">
        <v>899</v>
      </c>
      <c r="C319" s="139">
        <v>0.028797120476784368</v>
      </c>
      <c r="D319" s="156"/>
      <c r="F319" s="16" t="s">
        <v>900</v>
      </c>
      <c r="G319" s="139">
        <v>0.029994386903803277</v>
      </c>
      <c r="H319" s="156"/>
      <c r="I319" s="156"/>
    </row>
    <row r="320" spans="1:9" ht="15.75" customHeight="1">
      <c r="A320" s="84" t="s">
        <v>901</v>
      </c>
      <c r="C320" s="166">
        <f>1/SQRT(C319)+2*LOG10(2.51/(C291*SQRT(C319))+C292/3.71)</f>
        <v>0.0002406044460716572</v>
      </c>
      <c r="D320" s="156"/>
      <c r="E320" s="84" t="s">
        <v>65</v>
      </c>
      <c r="G320" s="166">
        <f>1/SQRT(G319)+2*LOG10(2.51/(H291*SQRT(G319))+H292/3.71)</f>
        <v>1.1099837284866965E-05</v>
      </c>
      <c r="H320" s="156"/>
      <c r="I320" s="156"/>
    </row>
    <row r="321" spans="1:9" ht="15.75" customHeight="1">
      <c r="A321" s="29"/>
      <c r="B321" s="29" t="s">
        <v>1641</v>
      </c>
      <c r="C321" s="69"/>
      <c r="D321" s="156"/>
      <c r="F321" s="29" t="s">
        <v>1641</v>
      </c>
      <c r="G321" s="68"/>
      <c r="H321" s="156"/>
      <c r="I321" s="156"/>
    </row>
    <row r="322" spans="1:9" ht="6" customHeight="1">
      <c r="A322" s="146"/>
      <c r="B322" s="68"/>
      <c r="C322" s="69"/>
      <c r="D322" s="156"/>
      <c r="E322" s="146"/>
      <c r="F322" s="68"/>
      <c r="G322" s="69"/>
      <c r="H322" s="156"/>
      <c r="I322" s="156"/>
    </row>
    <row r="323" spans="1:9" ht="15.75" customHeight="1">
      <c r="A323" s="14" t="s">
        <v>1317</v>
      </c>
      <c r="B323" s="139"/>
      <c r="C323" s="69"/>
      <c r="D323" s="156"/>
      <c r="E323" s="107"/>
      <c r="F323" s="139"/>
      <c r="G323" s="69"/>
      <c r="H323" s="156"/>
      <c r="I323" s="156"/>
    </row>
    <row r="324" spans="1:9" ht="6" customHeight="1">
      <c r="A324" s="146"/>
      <c r="B324" s="68"/>
      <c r="C324" s="69"/>
      <c r="D324" s="156"/>
      <c r="E324" s="146"/>
      <c r="F324" s="68"/>
      <c r="G324" s="69"/>
      <c r="H324" s="156"/>
      <c r="I324" s="156"/>
    </row>
    <row r="325" spans="1:9" ht="15.75" customHeight="1">
      <c r="A325" s="14" t="s">
        <v>1318</v>
      </c>
      <c r="C325" s="106">
        <f>+(C319/B261)*C286^2/(2*B266)</f>
        <v>0.07438706741277774</v>
      </c>
      <c r="D325" s="156"/>
      <c r="E325" s="14" t="s">
        <v>1342</v>
      </c>
      <c r="G325" s="106">
        <f>+(G319/G261)*G286^2/(2*B266)</f>
        <v>0.3264991437308532</v>
      </c>
      <c r="H325" s="156"/>
      <c r="I325" s="156"/>
    </row>
    <row r="326" spans="1:9" ht="6" customHeight="1">
      <c r="A326" s="107"/>
      <c r="B326" s="139"/>
      <c r="C326" s="69"/>
      <c r="D326" s="156"/>
      <c r="E326" s="107"/>
      <c r="F326" s="139"/>
      <c r="G326" s="69"/>
      <c r="H326" s="156"/>
      <c r="I326" s="156"/>
    </row>
    <row r="327" spans="1:9" ht="15.75" customHeight="1">
      <c r="A327" s="14" t="s">
        <v>1319</v>
      </c>
      <c r="B327" s="139"/>
      <c r="C327" s="69"/>
      <c r="D327" s="156"/>
      <c r="E327" s="12"/>
      <c r="F327" s="139"/>
      <c r="G327" s="69"/>
      <c r="H327" s="156"/>
      <c r="I327" s="156"/>
    </row>
    <row r="328" spans="1:9" ht="6" customHeight="1">
      <c r="A328" s="107"/>
      <c r="B328" s="139"/>
      <c r="C328" s="69"/>
      <c r="D328" s="156"/>
      <c r="E328" s="107"/>
      <c r="F328" s="139"/>
      <c r="G328" s="69"/>
      <c r="H328" s="156"/>
      <c r="I328" s="156"/>
    </row>
    <row r="329" spans="3:9" ht="15.75" customHeight="1">
      <c r="C329" s="12" t="s">
        <v>1343</v>
      </c>
      <c r="D329" s="106">
        <f>+C325*B260</f>
        <v>0.7438706741277774</v>
      </c>
      <c r="E329" s="69" t="s">
        <v>699</v>
      </c>
      <c r="G329" s="12" t="s">
        <v>1344</v>
      </c>
      <c r="H329" s="106">
        <f>+G325*G260</f>
        <v>0.9794974311925596</v>
      </c>
      <c r="I329" s="69" t="s">
        <v>699</v>
      </c>
    </row>
    <row r="330" spans="1:9" ht="15.75" customHeight="1">
      <c r="A330" s="100" t="s">
        <v>66</v>
      </c>
      <c r="D330" s="106">
        <f>+C311</f>
        <v>0.25831425566576016</v>
      </c>
      <c r="E330" s="69" t="s">
        <v>699</v>
      </c>
      <c r="F330" s="16" t="s">
        <v>67</v>
      </c>
      <c r="H330" s="106">
        <f>+G311</f>
        <v>1.6328012209983855</v>
      </c>
      <c r="I330" s="69" t="s">
        <v>699</v>
      </c>
    </row>
    <row r="331" spans="1:9" ht="6" customHeight="1">
      <c r="A331" s="156"/>
      <c r="B331" s="141"/>
      <c r="C331" s="156"/>
      <c r="D331" s="156"/>
      <c r="E331" s="156"/>
      <c r="F331" s="141"/>
      <c r="G331" s="156"/>
      <c r="H331" s="156"/>
      <c r="I331" s="156"/>
    </row>
    <row r="332" spans="1:9" ht="15.75" customHeight="1">
      <c r="A332" s="14" t="s">
        <v>1371</v>
      </c>
      <c r="B332" s="141"/>
      <c r="C332" s="156"/>
      <c r="D332" s="156"/>
      <c r="E332" s="156"/>
      <c r="F332" s="141"/>
      <c r="G332" s="156"/>
      <c r="H332" s="156"/>
      <c r="I332" s="156"/>
    </row>
    <row r="333" spans="1:9" ht="6" customHeight="1">
      <c r="A333" s="156"/>
      <c r="B333" s="141"/>
      <c r="C333" s="156"/>
      <c r="D333" s="156"/>
      <c r="E333" s="156"/>
      <c r="F333" s="141"/>
      <c r="G333" s="156"/>
      <c r="H333" s="156"/>
      <c r="I333" s="156"/>
    </row>
    <row r="334" spans="1:9" ht="15.75" customHeight="1">
      <c r="A334" s="156"/>
      <c r="B334" s="1"/>
      <c r="C334" s="74" t="s">
        <v>1372</v>
      </c>
      <c r="D334" s="171"/>
      <c r="E334" s="171"/>
      <c r="F334" s="74"/>
      <c r="G334" s="153">
        <f>+G263+H330+D330+D329+H329</f>
        <v>12.614483581984482</v>
      </c>
      <c r="H334" s="154" t="s">
        <v>699</v>
      </c>
      <c r="I334" s="156"/>
    </row>
    <row r="335" spans="1:9" ht="6" customHeight="1">
      <c r="A335" s="156"/>
      <c r="B335" s="69"/>
      <c r="C335" s="156"/>
      <c r="D335" s="156"/>
      <c r="E335" s="156"/>
      <c r="F335" s="172"/>
      <c r="G335" s="106"/>
      <c r="H335" s="68"/>
      <c r="I335" s="156"/>
    </row>
    <row r="336" spans="1:9" ht="15.75" customHeight="1">
      <c r="A336" s="117" t="s">
        <v>68</v>
      </c>
      <c r="B336" s="156"/>
      <c r="C336" s="156"/>
      <c r="D336" s="156"/>
      <c r="E336" s="117" t="s">
        <v>69</v>
      </c>
      <c r="F336" s="156"/>
      <c r="G336" s="156"/>
      <c r="H336" s="156"/>
      <c r="I336" s="156"/>
    </row>
    <row r="337" spans="1:9" ht="6" customHeight="1">
      <c r="A337" s="117"/>
      <c r="B337" s="156"/>
      <c r="C337" s="156"/>
      <c r="D337" s="156"/>
      <c r="E337" s="117"/>
      <c r="F337" s="156"/>
      <c r="G337" s="156"/>
      <c r="H337" s="156"/>
      <c r="I337" s="156"/>
    </row>
    <row r="338" spans="1:9" ht="15.75" customHeight="1">
      <c r="A338" s="69" t="s">
        <v>70</v>
      </c>
      <c r="B338" s="170" t="s">
        <v>71</v>
      </c>
      <c r="C338" s="156"/>
      <c r="D338" s="156"/>
      <c r="F338" s="156"/>
      <c r="G338" s="156"/>
      <c r="H338" s="156"/>
      <c r="I338" s="156"/>
    </row>
    <row r="339" spans="1:9" ht="6" customHeight="1">
      <c r="A339" s="117"/>
      <c r="B339" s="156"/>
      <c r="C339" s="156"/>
      <c r="D339" s="156"/>
      <c r="E339" s="164"/>
      <c r="F339" s="156"/>
      <c r="G339" s="156"/>
      <c r="H339" s="156"/>
      <c r="I339" s="156"/>
    </row>
    <row r="340" spans="1:9" ht="15.75" customHeight="1">
      <c r="A340" s="14" t="s">
        <v>737</v>
      </c>
      <c r="B340" s="156"/>
      <c r="C340" s="156"/>
      <c r="D340" s="156"/>
      <c r="H340" s="156"/>
      <c r="I340" s="156"/>
    </row>
    <row r="341" spans="1:9" ht="6" customHeight="1">
      <c r="A341" s="164"/>
      <c r="B341" s="156"/>
      <c r="C341" s="156"/>
      <c r="D341" s="164"/>
      <c r="E341" s="156"/>
      <c r="F341" s="156"/>
      <c r="G341" s="156"/>
      <c r="H341" s="156"/>
      <c r="I341" s="156"/>
    </row>
    <row r="342" spans="1:9" ht="15.75" customHeight="1">
      <c r="A342" s="16" t="s">
        <v>899</v>
      </c>
      <c r="B342" s="139">
        <f>-(2*LOG10(C292/3.71))^(-2)</f>
        <v>0.02839311368567247</v>
      </c>
      <c r="C342" s="69"/>
      <c r="D342" s="156"/>
      <c r="E342" s="16" t="s">
        <v>900</v>
      </c>
      <c r="F342" s="139">
        <f>-(2*LOG10(H292/3.71))^(-2)</f>
        <v>0.02971899096000947</v>
      </c>
      <c r="G342" s="69"/>
      <c r="H342" s="156"/>
      <c r="I342" s="156"/>
    </row>
    <row r="343" spans="1:9" ht="6" customHeight="1">
      <c r="A343" s="146"/>
      <c r="B343" s="68"/>
      <c r="C343" s="69"/>
      <c r="D343" s="156"/>
      <c r="E343" s="146"/>
      <c r="F343" s="68"/>
      <c r="G343" s="69"/>
      <c r="H343" s="156"/>
      <c r="I343" s="156"/>
    </row>
    <row r="344" spans="1:9" ht="15.75" customHeight="1">
      <c r="A344" s="14" t="s">
        <v>1317</v>
      </c>
      <c r="B344" s="139"/>
      <c r="C344" s="69"/>
      <c r="D344" s="156"/>
      <c r="E344" s="107"/>
      <c r="F344" s="139"/>
      <c r="G344" s="69"/>
      <c r="H344" s="156"/>
      <c r="I344" s="156"/>
    </row>
    <row r="345" spans="1:9" ht="6" customHeight="1">
      <c r="A345" s="146"/>
      <c r="B345" s="68"/>
      <c r="C345" s="69"/>
      <c r="D345" s="156"/>
      <c r="E345" s="146"/>
      <c r="F345" s="68"/>
      <c r="G345" s="69"/>
      <c r="H345" s="156"/>
      <c r="I345" s="156"/>
    </row>
    <row r="346" spans="1:9" ht="15.75" customHeight="1">
      <c r="A346" s="14" t="s">
        <v>1318</v>
      </c>
      <c r="C346" s="139">
        <f>+(B342/B261)*C286^2/(2*B266)</f>
        <v>0.07334346027747793</v>
      </c>
      <c r="D346" s="156"/>
      <c r="E346" s="14" t="s">
        <v>1342</v>
      </c>
      <c r="G346" s="139">
        <f>+(F342/G261)*G286^2/(2*B266)</f>
        <v>0.32350136484228964</v>
      </c>
      <c r="H346" s="156"/>
      <c r="I346" s="156"/>
    </row>
    <row r="347" spans="1:9" ht="6" customHeight="1">
      <c r="A347" s="107"/>
      <c r="B347" s="139"/>
      <c r="C347" s="69"/>
      <c r="D347" s="156"/>
      <c r="E347" s="107"/>
      <c r="F347" s="139"/>
      <c r="G347" s="69"/>
      <c r="H347" s="156"/>
      <c r="I347" s="156"/>
    </row>
    <row r="348" spans="1:9" ht="15.75" customHeight="1">
      <c r="A348" s="14" t="s">
        <v>1319</v>
      </c>
      <c r="B348" s="139"/>
      <c r="C348" s="69"/>
      <c r="D348" s="156"/>
      <c r="E348" s="12"/>
      <c r="F348" s="139"/>
      <c r="G348" s="69"/>
      <c r="H348" s="156"/>
      <c r="I348" s="156"/>
    </row>
    <row r="349" spans="1:9" ht="6" customHeight="1">
      <c r="A349" s="107"/>
      <c r="B349" s="139"/>
      <c r="C349" s="69"/>
      <c r="D349" s="156"/>
      <c r="E349" s="107"/>
      <c r="F349" s="139"/>
      <c r="G349" s="69"/>
      <c r="H349" s="156"/>
      <c r="I349" s="156"/>
    </row>
    <row r="350" spans="3:9" ht="15.75" customHeight="1">
      <c r="C350" s="12" t="s">
        <v>1343</v>
      </c>
      <c r="D350" s="106">
        <f>+C346*B260</f>
        <v>0.7334346027747793</v>
      </c>
      <c r="E350" s="69" t="s">
        <v>699</v>
      </c>
      <c r="G350" s="12" t="s">
        <v>1344</v>
      </c>
      <c r="H350" s="106">
        <f>+G346*G260</f>
        <v>0.9705040945268689</v>
      </c>
      <c r="I350" s="69" t="s">
        <v>699</v>
      </c>
    </row>
    <row r="351" spans="1:9" ht="15.75" customHeight="1">
      <c r="A351" s="100" t="s">
        <v>1377</v>
      </c>
      <c r="D351" s="106">
        <f>+D330</f>
        <v>0.25831425566576016</v>
      </c>
      <c r="E351" s="69" t="s">
        <v>699</v>
      </c>
      <c r="F351" s="16" t="s">
        <v>738</v>
      </c>
      <c r="H351" s="106">
        <f>+H330</f>
        <v>1.6328012209983855</v>
      </c>
      <c r="I351" s="69" t="s">
        <v>699</v>
      </c>
    </row>
    <row r="352" spans="1:9" ht="6" customHeight="1">
      <c r="A352" s="156"/>
      <c r="B352" s="141"/>
      <c r="C352" s="156"/>
      <c r="D352" s="156"/>
      <c r="E352" s="156"/>
      <c r="F352" s="141"/>
      <c r="G352" s="156"/>
      <c r="H352" s="156"/>
      <c r="I352" s="156"/>
    </row>
    <row r="353" spans="1:9" ht="15.75" customHeight="1">
      <c r="A353" s="14" t="s">
        <v>1371</v>
      </c>
      <c r="B353" s="141"/>
      <c r="C353" s="156"/>
      <c r="D353" s="156"/>
      <c r="E353" s="156"/>
      <c r="F353" s="141"/>
      <c r="G353" s="156"/>
      <c r="H353" s="156"/>
      <c r="I353" s="156"/>
    </row>
    <row r="354" spans="1:9" ht="6" customHeight="1">
      <c r="A354" s="156"/>
      <c r="B354" s="141"/>
      <c r="C354" s="156"/>
      <c r="D354" s="156"/>
      <c r="E354" s="156"/>
      <c r="F354" s="141"/>
      <c r="G354" s="156"/>
      <c r="H354" s="156"/>
      <c r="I354" s="156"/>
    </row>
    <row r="355" spans="1:9" ht="15.75" customHeight="1">
      <c r="A355" s="146"/>
      <c r="B355" s="74" t="s">
        <v>739</v>
      </c>
      <c r="C355" s="161"/>
      <c r="D355" s="171"/>
      <c r="E355" s="173"/>
      <c r="F355" s="74"/>
      <c r="G355" s="153">
        <f>+F281+H351+D351+D350+H350</f>
        <v>12.595054173965794</v>
      </c>
      <c r="H355" s="161" t="s">
        <v>699</v>
      </c>
      <c r="I355" s="156"/>
    </row>
    <row r="356" spans="1:9" ht="6" customHeight="1">
      <c r="A356" s="107"/>
      <c r="B356" s="139"/>
      <c r="C356" s="69"/>
      <c r="D356" s="156"/>
      <c r="E356" s="107"/>
      <c r="F356" s="139"/>
      <c r="G356" s="69"/>
      <c r="H356" s="156"/>
      <c r="I356" s="156"/>
    </row>
    <row r="357" spans="1:9" ht="15.75" customHeight="1">
      <c r="A357" s="117" t="s">
        <v>740</v>
      </c>
      <c r="B357" s="156"/>
      <c r="C357" s="156"/>
      <c r="D357" s="156"/>
      <c r="E357" s="170" t="s">
        <v>741</v>
      </c>
      <c r="F357" s="156"/>
      <c r="G357" s="156"/>
      <c r="H357" s="156"/>
      <c r="I357" s="156"/>
    </row>
    <row r="358" spans="1:9" ht="15.75" customHeight="1">
      <c r="A358" s="156"/>
      <c r="B358" s="69"/>
      <c r="C358" s="69"/>
      <c r="D358" s="156"/>
      <c r="E358" s="170" t="s">
        <v>742</v>
      </c>
      <c r="F358" s="156"/>
      <c r="G358" s="156"/>
      <c r="H358" s="156"/>
      <c r="I358" s="156"/>
    </row>
    <row r="359" spans="1:9" ht="6" customHeight="1">
      <c r="A359" s="156"/>
      <c r="B359" s="69"/>
      <c r="C359" s="69"/>
      <c r="D359" s="156"/>
      <c r="E359" s="156"/>
      <c r="F359" s="156"/>
      <c r="G359" s="156"/>
      <c r="H359" s="156"/>
      <c r="I359" s="156"/>
    </row>
    <row r="360" spans="1:9" ht="15.75" customHeight="1">
      <c r="A360" s="107" t="s">
        <v>743</v>
      </c>
      <c r="B360" s="139">
        <f>+(1/4)*(LOG10(3.71*B261/B262))^-2</f>
        <v>0.02839311368567247</v>
      </c>
      <c r="C360" s="69"/>
      <c r="D360" s="156"/>
      <c r="E360" s="107" t="s">
        <v>744</v>
      </c>
      <c r="F360" s="139">
        <f>+(1/4)*(LOG10(3.71*G261/G262))^-2</f>
        <v>0.029718990960009465</v>
      </c>
      <c r="G360" s="69"/>
      <c r="H360" s="156"/>
      <c r="I360" s="156"/>
    </row>
    <row r="361" spans="1:9" ht="15.75" customHeight="1">
      <c r="A361" s="107" t="s">
        <v>745</v>
      </c>
      <c r="B361" s="139">
        <f>+B360*(1+8/(C291*C292))</f>
        <v>0.028598272759617602</v>
      </c>
      <c r="C361" s="69"/>
      <c r="D361" s="156"/>
      <c r="E361" s="107" t="s">
        <v>746</v>
      </c>
      <c r="F361" s="139">
        <f>+F360*(1+8/(H291*H292))</f>
        <v>0.029857037727724592</v>
      </c>
      <c r="G361" s="69"/>
      <c r="H361" s="156"/>
      <c r="I361" s="156"/>
    </row>
    <row r="362" spans="1:9" ht="6" customHeight="1">
      <c r="A362" s="146"/>
      <c r="B362" s="68"/>
      <c r="C362" s="69"/>
      <c r="D362" s="156"/>
      <c r="E362" s="146"/>
      <c r="F362" s="68"/>
      <c r="G362" s="69"/>
      <c r="H362" s="156"/>
      <c r="I362" s="156"/>
    </row>
    <row r="363" spans="1:9" ht="15.75" customHeight="1">
      <c r="A363" s="14" t="s">
        <v>1317</v>
      </c>
      <c r="B363" s="139"/>
      <c r="C363" s="69"/>
      <c r="D363" s="156"/>
      <c r="E363" s="107"/>
      <c r="F363" s="139"/>
      <c r="G363" s="69"/>
      <c r="H363" s="156"/>
      <c r="I363" s="156"/>
    </row>
    <row r="364" spans="1:9" ht="15.75" customHeight="1">
      <c r="A364" s="146"/>
      <c r="B364" s="68"/>
      <c r="C364" s="69"/>
      <c r="D364" s="156"/>
      <c r="E364" s="146"/>
      <c r="F364" s="68"/>
      <c r="G364" s="69"/>
      <c r="H364" s="156"/>
      <c r="I364" s="156"/>
    </row>
    <row r="365" spans="1:9" ht="15.75" customHeight="1">
      <c r="A365" s="14" t="s">
        <v>1318</v>
      </c>
      <c r="C365" s="139">
        <f>+(B360/B261)*C286^2/(2*B266)</f>
        <v>0.07334346027747793</v>
      </c>
      <c r="D365" s="156"/>
      <c r="E365" s="14" t="s">
        <v>1342</v>
      </c>
      <c r="G365" s="139">
        <f>+(F360/G261)*G286^2/(2*B266)</f>
        <v>0.3235013648422896</v>
      </c>
      <c r="H365" s="156"/>
      <c r="I365" s="156"/>
    </row>
    <row r="366" spans="1:9" ht="6" customHeight="1">
      <c r="A366" s="107"/>
      <c r="B366" s="139"/>
      <c r="C366" s="69"/>
      <c r="D366" s="156"/>
      <c r="E366" s="107"/>
      <c r="F366" s="139"/>
      <c r="G366" s="69"/>
      <c r="H366" s="156"/>
      <c r="I366" s="156"/>
    </row>
    <row r="367" spans="1:9" ht="15.75" customHeight="1">
      <c r="A367" s="14" t="s">
        <v>1319</v>
      </c>
      <c r="B367" s="139"/>
      <c r="C367" s="69"/>
      <c r="D367" s="156"/>
      <c r="E367" s="12"/>
      <c r="F367" s="139"/>
      <c r="G367" s="69"/>
      <c r="H367" s="156"/>
      <c r="I367" s="156"/>
    </row>
    <row r="368" spans="1:9" ht="6" customHeight="1">
      <c r="A368" s="107"/>
      <c r="B368" s="139"/>
      <c r="C368" s="69"/>
      <c r="D368" s="156"/>
      <c r="E368" s="107"/>
      <c r="F368" s="139"/>
      <c r="G368" s="69"/>
      <c r="H368" s="156"/>
      <c r="I368" s="156"/>
    </row>
    <row r="369" spans="3:9" ht="15.75" customHeight="1">
      <c r="C369" s="12" t="s">
        <v>1343</v>
      </c>
      <c r="D369" s="106">
        <f>+C365*B260</f>
        <v>0.7334346027747793</v>
      </c>
      <c r="E369" s="69" t="s">
        <v>699</v>
      </c>
      <c r="G369" s="12" t="s">
        <v>1344</v>
      </c>
      <c r="H369" s="106">
        <f>+G365*G260</f>
        <v>0.9705040945268688</v>
      </c>
      <c r="I369" s="69" t="s">
        <v>699</v>
      </c>
    </row>
    <row r="370" spans="1:9" ht="15.75" customHeight="1">
      <c r="A370" s="100" t="s">
        <v>1377</v>
      </c>
      <c r="D370" s="106">
        <f>+C311</f>
        <v>0.25831425566576016</v>
      </c>
      <c r="E370" s="69" t="s">
        <v>699</v>
      </c>
      <c r="F370" s="16" t="s">
        <v>738</v>
      </c>
      <c r="H370" s="106">
        <f>+G311</f>
        <v>1.6328012209983855</v>
      </c>
      <c r="I370" s="69" t="s">
        <v>699</v>
      </c>
    </row>
    <row r="371" spans="1:9" ht="6" customHeight="1">
      <c r="A371" s="156"/>
      <c r="B371" s="141"/>
      <c r="C371" s="156"/>
      <c r="D371" s="156"/>
      <c r="E371" s="156"/>
      <c r="F371" s="141"/>
      <c r="G371" s="156"/>
      <c r="H371" s="156"/>
      <c r="I371" s="156"/>
    </row>
    <row r="372" spans="1:9" ht="15.75" customHeight="1">
      <c r="A372" s="14" t="s">
        <v>1371</v>
      </c>
      <c r="B372" s="141"/>
      <c r="C372" s="156"/>
      <c r="D372" s="156"/>
      <c r="E372" s="156"/>
      <c r="F372" s="141"/>
      <c r="G372" s="156"/>
      <c r="H372" s="156"/>
      <c r="I372" s="156"/>
    </row>
    <row r="373" spans="1:9" ht="6" customHeight="1">
      <c r="A373" s="156"/>
      <c r="B373" s="141"/>
      <c r="C373" s="156"/>
      <c r="D373" s="156"/>
      <c r="E373" s="156"/>
      <c r="F373" s="141"/>
      <c r="G373" s="156"/>
      <c r="H373" s="156"/>
      <c r="I373" s="156"/>
    </row>
    <row r="374" spans="1:9" ht="15.75" customHeight="1">
      <c r="A374" s="156"/>
      <c r="B374" s="1"/>
      <c r="C374" s="74" t="s">
        <v>1372</v>
      </c>
      <c r="D374" s="171"/>
      <c r="E374" s="171"/>
      <c r="F374" s="74"/>
      <c r="G374" s="153">
        <f>+G263+H370+D370+D369+H369</f>
        <v>12.595054173965794</v>
      </c>
      <c r="H374" s="154" t="s">
        <v>699</v>
      </c>
      <c r="I374" s="156"/>
    </row>
    <row r="375" spans="1:9" ht="6" customHeight="1">
      <c r="A375" s="156"/>
      <c r="B375" s="28"/>
      <c r="C375" s="156"/>
      <c r="D375" s="156"/>
      <c r="E375" s="156"/>
      <c r="F375" s="118"/>
      <c r="G375" s="68"/>
      <c r="H375" s="156"/>
      <c r="I375" s="151"/>
    </row>
    <row r="376" spans="1:9" ht="15.75" customHeight="1">
      <c r="A376" s="65" t="s">
        <v>1379</v>
      </c>
      <c r="B376" s="156"/>
      <c r="C376" s="156"/>
      <c r="D376" s="156"/>
      <c r="E376" s="156"/>
      <c r="F376" s="156"/>
      <c r="G376" s="156"/>
      <c r="H376" s="156"/>
      <c r="I376" s="156"/>
    </row>
    <row r="377" spans="1:9" ht="6" customHeight="1">
      <c r="A377" s="65"/>
      <c r="B377" s="156"/>
      <c r="C377" s="156"/>
      <c r="D377" s="156"/>
      <c r="E377" s="156"/>
      <c r="F377" s="156"/>
      <c r="G377" s="156"/>
      <c r="H377" s="156"/>
      <c r="I377" s="156"/>
    </row>
    <row r="378" spans="1:9" ht="15.75" customHeight="1">
      <c r="A378" s="156"/>
      <c r="B378" s="117" t="s">
        <v>1380</v>
      </c>
      <c r="C378" s="156"/>
      <c r="D378" s="156"/>
      <c r="E378" s="156"/>
      <c r="F378" s="156"/>
      <c r="G378" s="68"/>
      <c r="H378" s="68"/>
      <c r="I378" s="69"/>
    </row>
    <row r="379" spans="1:9" ht="6" customHeight="1">
      <c r="A379" s="156"/>
      <c r="B379" s="117"/>
      <c r="C379" s="156"/>
      <c r="D379" s="156"/>
      <c r="E379" s="156"/>
      <c r="F379" s="156"/>
      <c r="G379" s="68"/>
      <c r="H379" s="68"/>
      <c r="I379" s="69"/>
    </row>
    <row r="380" spans="1:9" ht="15.75" customHeight="1">
      <c r="A380" s="14" t="s">
        <v>747</v>
      </c>
      <c r="B380" s="117"/>
      <c r="C380" s="156"/>
      <c r="D380" s="156"/>
      <c r="E380" s="156"/>
      <c r="F380" s="156"/>
      <c r="G380" s="68"/>
      <c r="H380" s="68"/>
      <c r="I380" s="69"/>
    </row>
    <row r="381" spans="1:9" ht="6" customHeight="1">
      <c r="A381" s="156"/>
      <c r="B381" s="117"/>
      <c r="C381" s="156"/>
      <c r="D381" s="156"/>
      <c r="E381" s="156"/>
      <c r="F381" s="156"/>
      <c r="G381" s="68"/>
      <c r="H381" s="68"/>
      <c r="I381" s="69"/>
    </row>
    <row r="382" spans="1:9" ht="15.75" customHeight="1">
      <c r="A382" s="66" t="s">
        <v>748</v>
      </c>
      <c r="C382" s="106">
        <f>+G334</f>
        <v>12.614483581984482</v>
      </c>
      <c r="D382" s="69" t="s">
        <v>699</v>
      </c>
      <c r="E382" s="156"/>
      <c r="F382" s="68" t="s">
        <v>2382</v>
      </c>
      <c r="G382" s="106">
        <f>+G264</f>
        <v>11</v>
      </c>
      <c r="H382" s="69" t="s">
        <v>699</v>
      </c>
      <c r="I382" s="156"/>
    </row>
    <row r="383" spans="1:9" ht="6" customHeight="1">
      <c r="A383" s="156"/>
      <c r="B383" s="156"/>
      <c r="C383" s="156"/>
      <c r="D383" s="156"/>
      <c r="E383" s="156"/>
      <c r="F383" s="156"/>
      <c r="G383" s="156"/>
      <c r="H383" s="156"/>
      <c r="I383" s="156"/>
    </row>
    <row r="384" spans="1:9" ht="15.75" customHeight="1">
      <c r="A384" s="14" t="s">
        <v>1429</v>
      </c>
      <c r="B384" s="106"/>
      <c r="C384" s="68"/>
      <c r="D384" s="141"/>
      <c r="E384" s="68"/>
      <c r="F384" s="106"/>
      <c r="G384" s="68"/>
      <c r="H384" s="156"/>
      <c r="I384" s="156"/>
    </row>
    <row r="385" spans="1:9" ht="6" customHeight="1">
      <c r="A385" s="156"/>
      <c r="B385" s="156"/>
      <c r="C385" s="156"/>
      <c r="D385" s="156"/>
      <c r="E385" s="156"/>
      <c r="F385" s="156"/>
      <c r="G385" s="156"/>
      <c r="H385" s="156"/>
      <c r="I385" s="156"/>
    </row>
    <row r="386" spans="1:9" ht="15.75" customHeight="1">
      <c r="A386" s="66" t="s">
        <v>749</v>
      </c>
      <c r="C386" s="106">
        <f>0.1*C286^2/(2*B266)</f>
        <v>0.051662851133152034</v>
      </c>
      <c r="D386" s="69" t="s">
        <v>699</v>
      </c>
      <c r="E386" s="156"/>
      <c r="F386" s="156"/>
      <c r="G386" s="156"/>
      <c r="H386" s="156"/>
      <c r="I386" s="156"/>
    </row>
    <row r="387" spans="1:9" ht="6" customHeight="1">
      <c r="A387" s="68"/>
      <c r="B387" s="106"/>
      <c r="C387" s="69"/>
      <c r="D387" s="156"/>
      <c r="E387" s="68"/>
      <c r="F387" s="106"/>
      <c r="G387" s="69"/>
      <c r="H387" s="156"/>
      <c r="I387" s="156"/>
    </row>
    <row r="388" spans="1:5" ht="15.75" customHeight="1">
      <c r="A388" s="66" t="s">
        <v>1431</v>
      </c>
      <c r="E388" s="106"/>
    </row>
    <row r="389" spans="1:9" ht="6" customHeight="1">
      <c r="A389" s="66"/>
      <c r="B389" s="156"/>
      <c r="C389" s="156"/>
      <c r="D389" s="156"/>
      <c r="H389" s="156"/>
      <c r="I389" s="156"/>
    </row>
    <row r="390" spans="1:9" ht="15.75" customHeight="1">
      <c r="A390" s="66" t="s">
        <v>1432</v>
      </c>
      <c r="C390" s="106">
        <f>+B263/(G265*PI()*B261^2/4)</f>
        <v>5.218194855471978</v>
      </c>
      <c r="D390" s="69" t="s">
        <v>2381</v>
      </c>
      <c r="E390" s="174" t="s">
        <v>750</v>
      </c>
      <c r="G390" s="106">
        <f>+C390^2/(2*B266)</f>
        <v>1.3884130914579962</v>
      </c>
      <c r="H390" s="69" t="s">
        <v>699</v>
      </c>
      <c r="I390" s="156"/>
    </row>
    <row r="391" spans="1:9" ht="6" customHeight="1">
      <c r="A391" s="66"/>
      <c r="C391" s="106"/>
      <c r="D391" s="69"/>
      <c r="E391" s="174"/>
      <c r="G391" s="106"/>
      <c r="H391" s="69"/>
      <c r="I391" s="156"/>
    </row>
    <row r="392" spans="1:9" ht="15.75" customHeight="1">
      <c r="A392" s="66" t="s">
        <v>1434</v>
      </c>
      <c r="C392" s="106"/>
      <c r="D392" s="69"/>
      <c r="E392" s="174"/>
      <c r="G392" s="106"/>
      <c r="H392" s="69"/>
      <c r="I392" s="156"/>
    </row>
    <row r="393" spans="1:9" ht="6" customHeight="1">
      <c r="A393" s="156"/>
      <c r="B393" s="156"/>
      <c r="C393" s="156"/>
      <c r="D393" s="156"/>
      <c r="E393" s="156"/>
      <c r="F393" s="156"/>
      <c r="G393" s="156"/>
      <c r="H393" s="156"/>
      <c r="I393" s="156"/>
    </row>
    <row r="394" spans="1:9" ht="15.75" customHeight="1">
      <c r="A394" s="158"/>
      <c r="B394" s="1"/>
      <c r="C394" s="69" t="s">
        <v>1435</v>
      </c>
      <c r="D394" s="156"/>
      <c r="E394" s="156"/>
      <c r="G394" s="124">
        <f>+B264*(C382-(G264+C390^2/(2*B266)+0.1*C286^2/(2*B266)))</f>
        <v>1368.2279310407002</v>
      </c>
      <c r="H394" s="69" t="s">
        <v>700</v>
      </c>
      <c r="I394" s="156"/>
    </row>
    <row r="395" spans="1:9" ht="6" customHeight="1">
      <c r="A395" s="158"/>
      <c r="B395" s="156"/>
      <c r="C395" s="156"/>
      <c r="D395" s="156"/>
      <c r="E395" s="156"/>
      <c r="F395" s="156"/>
      <c r="G395" s="156"/>
      <c r="H395" s="156"/>
      <c r="I395" s="156"/>
    </row>
    <row r="396" spans="1:9" ht="15.75" customHeight="1">
      <c r="A396" s="156"/>
      <c r="B396" s="159" t="s">
        <v>1436</v>
      </c>
      <c r="C396" s="153">
        <f>+G394/B264</f>
        <v>0.17440763939333337</v>
      </c>
      <c r="D396" s="161" t="s">
        <v>699</v>
      </c>
      <c r="E396" s="68"/>
      <c r="F396" s="106"/>
      <c r="G396" s="69"/>
      <c r="H396" s="156"/>
      <c r="I396" s="156"/>
    </row>
    <row r="397" spans="1:9" ht="6" customHeight="1">
      <c r="A397" s="156"/>
      <c r="B397" s="156"/>
      <c r="C397" s="156"/>
      <c r="D397" s="156"/>
      <c r="E397" s="156"/>
      <c r="F397" s="156"/>
      <c r="G397" s="156"/>
      <c r="H397" s="156"/>
      <c r="I397" s="156"/>
    </row>
    <row r="398" spans="1:9" ht="15.75" customHeight="1">
      <c r="A398" s="14" t="s">
        <v>1438</v>
      </c>
      <c r="B398" s="27"/>
      <c r="C398" s="27"/>
      <c r="D398" s="27"/>
      <c r="E398" s="27"/>
      <c r="F398" s="162"/>
      <c r="G398" s="162"/>
      <c r="H398" s="162"/>
      <c r="I398" s="27"/>
    </row>
    <row r="399" spans="1:9" ht="15.75" customHeight="1">
      <c r="A399" s="14" t="s">
        <v>1439</v>
      </c>
      <c r="B399" s="27"/>
      <c r="C399" s="27"/>
      <c r="D399" s="27"/>
      <c r="E399" s="27"/>
      <c r="F399" s="27"/>
      <c r="G399" s="27"/>
      <c r="H399" s="27"/>
      <c r="I399" s="27"/>
    </row>
    <row r="400" spans="1:9" ht="15.75" customHeight="1">
      <c r="A400" s="14" t="s">
        <v>2495</v>
      </c>
      <c r="B400" s="27"/>
      <c r="C400" s="27"/>
      <c r="D400" s="27"/>
      <c r="E400" s="27"/>
      <c r="F400" s="27"/>
      <c r="G400" s="27"/>
      <c r="H400" s="27"/>
      <c r="I400" s="27"/>
    </row>
    <row r="401" spans="1:9" ht="15.75" customHeight="1">
      <c r="A401" s="14" t="s">
        <v>2496</v>
      </c>
      <c r="B401" s="27"/>
      <c r="C401" s="27"/>
      <c r="D401" s="27"/>
      <c r="E401" s="27"/>
      <c r="F401" s="27"/>
      <c r="G401" s="27"/>
      <c r="H401" s="27"/>
      <c r="I401" s="27"/>
    </row>
    <row r="402" spans="1:9" ht="15.75" customHeight="1">
      <c r="A402" s="14" t="s">
        <v>2497</v>
      </c>
      <c r="B402" s="27"/>
      <c r="C402" s="27"/>
      <c r="D402" s="27"/>
      <c r="E402" s="27"/>
      <c r="F402" s="27"/>
      <c r="G402" s="27"/>
      <c r="H402" s="27"/>
      <c r="I402" s="27"/>
    </row>
    <row r="403" spans="1:9" ht="6" customHeight="1">
      <c r="A403" s="27"/>
      <c r="B403" s="27"/>
      <c r="C403" s="27"/>
      <c r="D403" s="27"/>
      <c r="E403" s="27"/>
      <c r="F403" s="27"/>
      <c r="G403" s="27"/>
      <c r="H403" s="27"/>
      <c r="I403" s="27"/>
    </row>
    <row r="404" spans="1:9" ht="15.75" customHeight="1">
      <c r="A404" s="69" t="s">
        <v>2498</v>
      </c>
      <c r="B404" s="27"/>
      <c r="C404" s="27"/>
      <c r="D404" s="27"/>
      <c r="E404" s="27"/>
      <c r="F404" s="27"/>
      <c r="G404" s="27"/>
      <c r="H404" s="27"/>
      <c r="I404" s="27"/>
    </row>
    <row r="405" spans="1:9" ht="6" customHeight="1">
      <c r="A405" s="69"/>
      <c r="B405" s="27"/>
      <c r="C405" s="27"/>
      <c r="D405" s="27"/>
      <c r="E405" s="27"/>
      <c r="F405" s="27"/>
      <c r="G405" s="27"/>
      <c r="H405" s="27"/>
      <c r="I405" s="27"/>
    </row>
    <row r="406" spans="1:9" ht="15.75" customHeight="1">
      <c r="A406" s="28" t="s">
        <v>1035</v>
      </c>
      <c r="B406" s="27"/>
      <c r="C406" s="27"/>
      <c r="D406" s="27"/>
      <c r="F406" s="12" t="s">
        <v>1036</v>
      </c>
      <c r="G406" s="12" t="s">
        <v>1037</v>
      </c>
      <c r="H406" s="27"/>
      <c r="I406" s="27"/>
    </row>
    <row r="407" spans="1:9" ht="6" customHeight="1">
      <c r="A407" s="140"/>
      <c r="B407" s="163"/>
      <c r="C407" s="164"/>
      <c r="D407" s="140"/>
      <c r="E407" s="140"/>
      <c r="F407" s="163"/>
      <c r="G407" s="140"/>
      <c r="H407" s="140"/>
      <c r="I407" s="140"/>
    </row>
    <row r="408" spans="1:9" ht="6" customHeight="1">
      <c r="A408" s="175"/>
      <c r="B408" s="176"/>
      <c r="C408" s="177"/>
      <c r="D408" s="175"/>
      <c r="E408" s="175"/>
      <c r="F408" s="176"/>
      <c r="G408" s="175"/>
      <c r="H408" s="175"/>
      <c r="I408" s="175"/>
    </row>
    <row r="409" ht="6" customHeight="1"/>
    <row r="410" ht="15.75" customHeight="1">
      <c r="A410" s="85" t="s">
        <v>751</v>
      </c>
    </row>
    <row r="411" ht="6" customHeight="1">
      <c r="A411" s="1"/>
    </row>
    <row r="412" ht="15.75" customHeight="1">
      <c r="A412" s="5" t="s">
        <v>112</v>
      </c>
    </row>
    <row r="413" ht="6" customHeight="1"/>
    <row r="414" spans="1:9" ht="15.75" customHeight="1">
      <c r="A414" s="68" t="s">
        <v>709</v>
      </c>
      <c r="B414" s="106">
        <v>0.25</v>
      </c>
      <c r="C414" s="69" t="s">
        <v>701</v>
      </c>
      <c r="D414" s="107" t="s">
        <v>752</v>
      </c>
      <c r="E414" s="68">
        <v>0.98</v>
      </c>
      <c r="F414" s="178" t="s">
        <v>699</v>
      </c>
      <c r="G414" s="68" t="s">
        <v>1017</v>
      </c>
      <c r="H414" s="68">
        <v>9.806</v>
      </c>
      <c r="I414" s="28" t="s">
        <v>1018</v>
      </c>
    </row>
    <row r="415" spans="1:9" ht="15.75" customHeight="1">
      <c r="A415" s="68" t="s">
        <v>892</v>
      </c>
      <c r="B415" s="106">
        <v>100</v>
      </c>
      <c r="C415" s="69" t="s">
        <v>699</v>
      </c>
      <c r="D415" s="107" t="s">
        <v>753</v>
      </c>
      <c r="E415" s="68">
        <v>0.6</v>
      </c>
      <c r="F415" s="179" t="s">
        <v>699</v>
      </c>
      <c r="G415" s="107" t="s">
        <v>1017</v>
      </c>
      <c r="H415" s="68">
        <v>6668</v>
      </c>
      <c r="I415" s="28" t="s">
        <v>713</v>
      </c>
    </row>
    <row r="416" spans="1:9" ht="15.75" customHeight="1">
      <c r="A416" s="68" t="s">
        <v>2515</v>
      </c>
      <c r="B416" s="106">
        <v>0.6</v>
      </c>
      <c r="C416" s="69" t="s">
        <v>699</v>
      </c>
      <c r="D416" s="68" t="s">
        <v>754</v>
      </c>
      <c r="E416" s="106">
        <v>3</v>
      </c>
      <c r="F416" s="69" t="s">
        <v>699</v>
      </c>
      <c r="G416" s="107" t="s">
        <v>709</v>
      </c>
      <c r="H416" s="138">
        <v>4.4E-07</v>
      </c>
      <c r="I416" s="28" t="s">
        <v>893</v>
      </c>
    </row>
    <row r="417" spans="1:9" ht="15.75" customHeight="1">
      <c r="A417" s="107" t="s">
        <v>895</v>
      </c>
      <c r="B417" s="68">
        <v>0.002</v>
      </c>
      <c r="C417" s="69" t="s">
        <v>699</v>
      </c>
      <c r="D417" s="68" t="s">
        <v>755</v>
      </c>
      <c r="E417" s="106">
        <v>5</v>
      </c>
      <c r="F417" s="69" t="s">
        <v>699</v>
      </c>
      <c r="G417" s="16" t="s">
        <v>714</v>
      </c>
      <c r="H417" s="12">
        <v>1</v>
      </c>
      <c r="I417"/>
    </row>
    <row r="418" spans="1:9" ht="15.75" customHeight="1">
      <c r="A418" s="68" t="s">
        <v>2513</v>
      </c>
      <c r="B418" s="106">
        <v>0.15</v>
      </c>
      <c r="C418" s="69" t="s">
        <v>699</v>
      </c>
      <c r="D418" s="68" t="s">
        <v>1016</v>
      </c>
      <c r="E418" s="106">
        <v>10</v>
      </c>
      <c r="F418" s="69" t="s">
        <v>699</v>
      </c>
      <c r="G418"/>
      <c r="H418"/>
      <c r="I418"/>
    </row>
    <row r="419" spans="1:9" ht="15.75" customHeight="1">
      <c r="A419" s="68" t="s">
        <v>2516</v>
      </c>
      <c r="B419" s="106">
        <v>0.2</v>
      </c>
      <c r="C419" s="69" t="s">
        <v>699</v>
      </c>
      <c r="D419"/>
      <c r="E419"/>
      <c r="F419"/>
      <c r="G419"/>
      <c r="H419"/>
      <c r="I419"/>
    </row>
    <row r="420" spans="1:9" ht="6" customHeight="1">
      <c r="A420" s="164"/>
      <c r="B420" s="180"/>
      <c r="C420" s="164"/>
      <c r="D420" s="140"/>
      <c r="E420" s="140"/>
      <c r="F420" s="163"/>
      <c r="G420" s="140"/>
      <c r="H420" s="164"/>
      <c r="I420" s="140"/>
    </row>
    <row r="421" spans="1:9" ht="15.75" customHeight="1">
      <c r="A421" s="76" t="s">
        <v>19</v>
      </c>
      <c r="B421" s="180"/>
      <c r="C421" s="164"/>
      <c r="D421" s="140"/>
      <c r="E421" s="140"/>
      <c r="F421" s="163"/>
      <c r="G421" s="140"/>
      <c r="H421" s="164"/>
      <c r="I421" s="140"/>
    </row>
    <row r="422" spans="1:9" ht="15.75" customHeight="1">
      <c r="A422" s="76" t="s">
        <v>20</v>
      </c>
      <c r="B422" s="180"/>
      <c r="C422" s="164"/>
      <c r="D422" s="140"/>
      <c r="E422" s="140"/>
      <c r="F422" s="163"/>
      <c r="G422" s="140"/>
      <c r="H422" s="164"/>
      <c r="I422" s="140"/>
    </row>
    <row r="423" spans="1:9" ht="6" customHeight="1">
      <c r="A423" s="156"/>
      <c r="B423" s="180"/>
      <c r="C423" s="164"/>
      <c r="D423" s="140"/>
      <c r="E423" s="140"/>
      <c r="F423" s="163"/>
      <c r="G423" s="140"/>
      <c r="H423" s="164"/>
      <c r="I423" s="140"/>
    </row>
    <row r="424" spans="1:9" ht="15.75" customHeight="1">
      <c r="A424" s="5" t="s">
        <v>113</v>
      </c>
      <c r="B424" s="180"/>
      <c r="C424" s="164"/>
      <c r="D424" s="140"/>
      <c r="E424" s="140"/>
      <c r="F424" s="163"/>
      <c r="G424" s="140"/>
      <c r="H424" s="164"/>
      <c r="I424" s="140"/>
    </row>
    <row r="425" spans="1:9" ht="6" customHeight="1">
      <c r="A425" s="156"/>
      <c r="B425" s="180"/>
      <c r="C425" s="164"/>
      <c r="D425" s="140"/>
      <c r="E425" s="140"/>
      <c r="F425" s="163"/>
      <c r="G425" s="140"/>
      <c r="H425" s="164"/>
      <c r="I425" s="140"/>
    </row>
    <row r="426" spans="1:9" ht="15.75" customHeight="1">
      <c r="A426" s="65" t="s">
        <v>1971</v>
      </c>
      <c r="B426" s="180"/>
      <c r="C426" s="164"/>
      <c r="D426" s="140"/>
      <c r="E426" s="140"/>
      <c r="F426" s="163"/>
      <c r="G426" s="140"/>
      <c r="H426" s="164"/>
      <c r="I426" s="140"/>
    </row>
    <row r="427" spans="1:9" ht="6" customHeight="1">
      <c r="A427" s="140"/>
      <c r="B427" s="163"/>
      <c r="C427" s="164"/>
      <c r="D427" s="140"/>
      <c r="E427" s="140"/>
      <c r="F427" s="163"/>
      <c r="G427" s="140"/>
      <c r="H427" s="140"/>
      <c r="I427" s="140"/>
    </row>
    <row r="428" spans="1:9" ht="15.75" customHeight="1">
      <c r="A428" s="69" t="s">
        <v>1972</v>
      </c>
      <c r="B428" s="163"/>
      <c r="C428" s="164"/>
      <c r="D428" s="140"/>
      <c r="E428" s="140"/>
      <c r="F428" s="163"/>
      <c r="G428" s="140"/>
      <c r="H428" s="140"/>
      <c r="I428" s="140"/>
    </row>
    <row r="429" spans="1:9" ht="15.75" customHeight="1">
      <c r="A429" s="69" t="s">
        <v>1973</v>
      </c>
      <c r="B429" s="163"/>
      <c r="C429" s="164"/>
      <c r="D429" s="140"/>
      <c r="E429" s="140"/>
      <c r="F429" s="163"/>
      <c r="G429" s="140"/>
      <c r="H429" s="140"/>
      <c r="I429" s="140"/>
    </row>
    <row r="430" spans="1:9" ht="15.75" customHeight="1">
      <c r="A430" s="69" t="s">
        <v>1974</v>
      </c>
      <c r="B430" s="163"/>
      <c r="C430" s="164"/>
      <c r="D430" s="140"/>
      <c r="E430" s="140"/>
      <c r="F430" s="163"/>
      <c r="G430" s="140"/>
      <c r="H430" s="140"/>
      <c r="I430" s="140"/>
    </row>
    <row r="431" spans="1:9" ht="6" customHeight="1">
      <c r="A431" s="181"/>
      <c r="B431" s="163"/>
      <c r="C431" s="164"/>
      <c r="D431" s="140"/>
      <c r="E431" s="140"/>
      <c r="F431" s="163"/>
      <c r="G431" s="140"/>
      <c r="H431" s="140"/>
      <c r="I431" s="140"/>
    </row>
    <row r="432" spans="1:9" ht="15.75" customHeight="1">
      <c r="A432" s="69" t="s">
        <v>1975</v>
      </c>
      <c r="B432"/>
      <c r="C432"/>
      <c r="D432"/>
      <c r="E432" s="66" t="s">
        <v>1976</v>
      </c>
      <c r="G432" s="106">
        <f>+(B414*10^5)/H415</f>
        <v>3.749250149970006</v>
      </c>
      <c r="H432" s="69" t="s">
        <v>699</v>
      </c>
      <c r="I432"/>
    </row>
    <row r="433" spans="1:9" ht="6" customHeight="1">
      <c r="A433" s="68"/>
      <c r="B433" s="106"/>
      <c r="C433" s="69"/>
      <c r="D433"/>
      <c r="E433"/>
      <c r="F433"/>
      <c r="G433"/>
      <c r="H433"/>
      <c r="I433"/>
    </row>
    <row r="434" spans="1:9" ht="15.75" customHeight="1">
      <c r="A434" s="120" t="s">
        <v>1977</v>
      </c>
      <c r="E434" s="66" t="s">
        <v>1978</v>
      </c>
      <c r="G434" s="106">
        <f>+E418+G432</f>
        <v>13.749250149970006</v>
      </c>
      <c r="H434" s="69" t="s">
        <v>1979</v>
      </c>
      <c r="I434" s="69"/>
    </row>
    <row r="435" spans="1:9" ht="6" customHeight="1">
      <c r="A435" s="68"/>
      <c r="B435" s="106"/>
      <c r="C435" s="69"/>
      <c r="D435" s="181"/>
      <c r="E435" s="140" t="s">
        <v>1980</v>
      </c>
      <c r="F435" s="66"/>
      <c r="G435" s="69"/>
      <c r="H435" s="106"/>
      <c r="I435" s="69"/>
    </row>
    <row r="436" spans="1:9" ht="15.75" customHeight="1">
      <c r="A436" s="69" t="s">
        <v>1981</v>
      </c>
      <c r="B436" s="106"/>
      <c r="C436" s="69"/>
      <c r="D436" s="69" t="s">
        <v>1982</v>
      </c>
      <c r="E436" s="140"/>
      <c r="F436" s="66" t="s">
        <v>1983</v>
      </c>
      <c r="G436" s="69"/>
      <c r="H436" s="106">
        <f>+G434-E417</f>
        <v>8.749250149970006</v>
      </c>
      <c r="I436" s="69" t="s">
        <v>699</v>
      </c>
    </row>
    <row r="437" spans="1:9" ht="6" customHeight="1">
      <c r="A437" s="68"/>
      <c r="B437" s="106"/>
      <c r="C437" s="69"/>
      <c r="D437" s="181"/>
      <c r="E437" s="140"/>
      <c r="F437" s="66"/>
      <c r="G437" s="69"/>
      <c r="H437" s="106"/>
      <c r="I437" s="69"/>
    </row>
    <row r="438" spans="1:9" ht="15.75" customHeight="1">
      <c r="A438"/>
      <c r="B438"/>
      <c r="C438"/>
      <c r="D438" s="181" t="s">
        <v>1984</v>
      </c>
      <c r="E438" s="140"/>
      <c r="F438" s="66" t="s">
        <v>1985</v>
      </c>
      <c r="G438" s="69"/>
      <c r="H438" s="106">
        <f>+G434-E416</f>
        <v>10.749250149970006</v>
      </c>
      <c r="I438" s="69" t="s">
        <v>699</v>
      </c>
    </row>
    <row r="439" spans="1:9" ht="6" customHeight="1">
      <c r="A439" s="140"/>
      <c r="B439" s="182"/>
      <c r="C439" s="140"/>
      <c r="D439" s="140"/>
      <c r="E439" s="140"/>
      <c r="F439" s="183"/>
      <c r="G439" s="140"/>
      <c r="H439" s="140"/>
      <c r="I439" s="140"/>
    </row>
    <row r="440" spans="1:9" ht="15.75" customHeight="1">
      <c r="A440" s="69" t="s">
        <v>1986</v>
      </c>
      <c r="B440" s="182"/>
      <c r="E440" s="66" t="s">
        <v>1987</v>
      </c>
      <c r="F440" s="1"/>
      <c r="G440" s="106">
        <f>+PI()*B419^2/4</f>
        <v>0.031415926535897934</v>
      </c>
      <c r="H440" s="28" t="s">
        <v>108</v>
      </c>
      <c r="I440"/>
    </row>
    <row r="441" spans="1:9" ht="6" customHeight="1">
      <c r="A441" s="140"/>
      <c r="B441" s="182"/>
      <c r="C441" s="140"/>
      <c r="D441" s="140"/>
      <c r="E441" s="66"/>
      <c r="F441" s="140"/>
      <c r="G441" s="1"/>
      <c r="H441" s="106"/>
      <c r="I441" s="28"/>
    </row>
    <row r="442" spans="1:9" ht="15.75" customHeight="1">
      <c r="A442" s="140"/>
      <c r="B442" s="184"/>
      <c r="E442" s="66" t="s">
        <v>1988</v>
      </c>
      <c r="G442" s="106">
        <f>+PI()*B418^2/4</f>
        <v>0.017671458676442587</v>
      </c>
      <c r="H442" s="28" t="s">
        <v>108</v>
      </c>
      <c r="I442"/>
    </row>
    <row r="443" spans="1:9" ht="6" customHeight="1">
      <c r="A443" s="140"/>
      <c r="B443" s="184"/>
      <c r="C443" s="140"/>
      <c r="D443" s="140"/>
      <c r="E443" s="140"/>
      <c r="F443" s="184"/>
      <c r="G443" s="140"/>
      <c r="H443" s="140"/>
      <c r="I443" s="140"/>
    </row>
    <row r="444" spans="1:9" ht="15.75" customHeight="1">
      <c r="A444" s="69" t="s">
        <v>1989</v>
      </c>
      <c r="B444" s="184"/>
      <c r="C444" s="140"/>
      <c r="D444" s="140"/>
      <c r="E444" s="140"/>
      <c r="F444" s="184"/>
      <c r="G444" s="140"/>
      <c r="H444" s="140"/>
      <c r="I444" s="140"/>
    </row>
    <row r="445" spans="1:9" ht="6" customHeight="1">
      <c r="A445" s="140"/>
      <c r="B445" s="184"/>
      <c r="C445" s="140"/>
      <c r="D445" s="140"/>
      <c r="E445" s="140"/>
      <c r="F445" s="184"/>
      <c r="G445" s="140"/>
      <c r="H445" s="140"/>
      <c r="I445" s="140"/>
    </row>
    <row r="446" spans="1:9" ht="15.75" customHeight="1">
      <c r="A446" s="161" t="s">
        <v>1990</v>
      </c>
      <c r="B446" s="185"/>
      <c r="C446" s="74"/>
      <c r="D446" s="74"/>
      <c r="E446" s="153">
        <f>+E414*G440*SQRT(2*H414*H436)</f>
        <v>0.40329450762238883</v>
      </c>
      <c r="F446" s="161" t="s">
        <v>2374</v>
      </c>
      <c r="G446" s="140"/>
      <c r="H446" s="140"/>
      <c r="I446" s="140"/>
    </row>
    <row r="447" spans="1:9" ht="6" customHeight="1">
      <c r="A447" s="69"/>
      <c r="B447" s="163"/>
      <c r="C447" s="186"/>
      <c r="D447" s="69"/>
      <c r="E447" s="1"/>
      <c r="F447"/>
      <c r="G447" s="140"/>
      <c r="H447" s="140"/>
      <c r="I447" s="140"/>
    </row>
    <row r="448" spans="1:9" ht="15.75" customHeight="1">
      <c r="A448" s="161" t="s">
        <v>1991</v>
      </c>
      <c r="B448" s="187"/>
      <c r="C448" s="74"/>
      <c r="D448" s="74"/>
      <c r="E448" s="153">
        <f>+E415*G442*SQRT(2*H414*H438)</f>
        <v>0.15394786734891466</v>
      </c>
      <c r="F448" s="161" t="s">
        <v>2374</v>
      </c>
      <c r="G448" s="184"/>
      <c r="H448" s="163"/>
      <c r="I448" s="140"/>
    </row>
    <row r="449" spans="1:9" ht="6" customHeight="1">
      <c r="A449" s="140"/>
      <c r="B449" s="188"/>
      <c r="C449" s="140"/>
      <c r="D449" s="140"/>
      <c r="E449" s="189"/>
      <c r="F449" s="190"/>
      <c r="G449" s="140"/>
      <c r="H449" s="140"/>
      <c r="I449" s="140"/>
    </row>
    <row r="450" spans="1:9" ht="15.75" customHeight="1">
      <c r="A450" s="65" t="s">
        <v>1992</v>
      </c>
      <c r="B450" s="188"/>
      <c r="C450" s="140"/>
      <c r="D450" s="140"/>
      <c r="E450" s="189"/>
      <c r="F450" s="190"/>
      <c r="G450" s="140"/>
      <c r="H450" s="140"/>
      <c r="I450" s="140"/>
    </row>
    <row r="451" spans="1:9" ht="15.75" customHeight="1">
      <c r="A451" s="65" t="s">
        <v>1993</v>
      </c>
      <c r="B451" s="188"/>
      <c r="C451" s="140"/>
      <c r="D451" s="140"/>
      <c r="E451" s="189"/>
      <c r="F451" s="190"/>
      <c r="G451" s="140"/>
      <c r="H451" s="140"/>
      <c r="I451" s="140"/>
    </row>
    <row r="452" spans="1:9" ht="6" customHeight="1">
      <c r="A452" s="140"/>
      <c r="B452" s="188"/>
      <c r="C452" s="140"/>
      <c r="D452" s="140"/>
      <c r="E452" s="189"/>
      <c r="F452" s="190"/>
      <c r="G452" s="140"/>
      <c r="H452" s="140"/>
      <c r="I452" s="140"/>
    </row>
    <row r="453" spans="1:9" ht="15.75" customHeight="1">
      <c r="A453" s="154" t="s">
        <v>1994</v>
      </c>
      <c r="B453" s="74"/>
      <c r="C453" s="153">
        <f>+E446+E448</f>
        <v>0.5572423749713035</v>
      </c>
      <c r="D453" s="161" t="s">
        <v>2374</v>
      </c>
      <c r="E453"/>
      <c r="F453"/>
      <c r="G453" s="140"/>
      <c r="H453" s="140"/>
      <c r="I453" s="140"/>
    </row>
    <row r="454" spans="1:9" ht="6" customHeight="1">
      <c r="A454" s="68"/>
      <c r="B454" s="191"/>
      <c r="C454" s="69"/>
      <c r="D454"/>
      <c r="E454"/>
      <c r="F454"/>
      <c r="G454" s="140"/>
      <c r="H454" s="140"/>
      <c r="I454" s="140"/>
    </row>
    <row r="455" spans="1:9" ht="15.75" customHeight="1">
      <c r="A455" s="65" t="s">
        <v>1995</v>
      </c>
      <c r="B455" s="140"/>
      <c r="C455" s="140"/>
      <c r="D455" s="164"/>
      <c r="E455" s="140"/>
      <c r="F455" s="140"/>
      <c r="G455" s="140"/>
      <c r="H455" s="140"/>
      <c r="I455" s="140"/>
    </row>
    <row r="456" spans="1:9" ht="6" customHeight="1">
      <c r="A456" s="65"/>
      <c r="B456" s="140"/>
      <c r="C456" s="140"/>
      <c r="D456" s="164"/>
      <c r="E456" s="140"/>
      <c r="F456" s="140"/>
      <c r="G456" s="140"/>
      <c r="H456" s="140"/>
      <c r="I456" s="140"/>
    </row>
    <row r="457" spans="1:9" ht="15.75" customHeight="1">
      <c r="A457" s="192"/>
      <c r="B457" s="182"/>
      <c r="C457" s="140"/>
      <c r="D457" s="117" t="s">
        <v>1996</v>
      </c>
      <c r="E457" s="140"/>
      <c r="F457" s="182"/>
      <c r="G457"/>
      <c r="H457"/>
      <c r="I457" s="140"/>
    </row>
    <row r="458" spans="1:9" ht="6" customHeight="1">
      <c r="A458" s="140"/>
      <c r="B458" s="193"/>
      <c r="C458" s="140"/>
      <c r="D458" s="140"/>
      <c r="E458" s="140"/>
      <c r="F458" s="193"/>
      <c r="G458" s="140"/>
      <c r="H458" s="140"/>
      <c r="I458" s="140"/>
    </row>
    <row r="459" spans="1:9" ht="15.75" customHeight="1">
      <c r="A459" s="140"/>
      <c r="B459" s="117" t="s">
        <v>1997</v>
      </c>
      <c r="C459" s="140"/>
      <c r="D459" s="29" t="s">
        <v>1915</v>
      </c>
      <c r="E459" s="117" t="s">
        <v>1998</v>
      </c>
      <c r="F459" s="163"/>
      <c r="G459"/>
      <c r="H459"/>
      <c r="I459" s="184"/>
    </row>
    <row r="460" spans="1:9" ht="6" customHeight="1">
      <c r="A460" s="140"/>
      <c r="B460" s="163"/>
      <c r="C460" s="140"/>
      <c r="D460" s="140"/>
      <c r="E460" s="140"/>
      <c r="F460" s="163"/>
      <c r="G460" s="140"/>
      <c r="H460" s="140"/>
      <c r="I460" s="184"/>
    </row>
    <row r="461" spans="1:9" ht="15.75" customHeight="1">
      <c r="A461" s="14" t="s">
        <v>1999</v>
      </c>
      <c r="B461" s="163"/>
      <c r="C461" s="140"/>
      <c r="D461" s="140"/>
      <c r="E461" s="140"/>
      <c r="F461" s="163"/>
      <c r="G461" s="140"/>
      <c r="H461" s="140"/>
      <c r="I461" s="184"/>
    </row>
    <row r="462" spans="1:9" ht="15.75" customHeight="1">
      <c r="A462" s="14" t="s">
        <v>2000</v>
      </c>
      <c r="B462" s="163"/>
      <c r="C462" s="140"/>
      <c r="D462" s="140"/>
      <c r="E462" s="140"/>
      <c r="F462" s="163"/>
      <c r="G462" s="140"/>
      <c r="H462" s="140"/>
      <c r="I462" s="184"/>
    </row>
    <row r="463" spans="1:9" ht="6" customHeight="1">
      <c r="A463" s="140"/>
      <c r="B463" s="163"/>
      <c r="C463" s="140"/>
      <c r="D463" s="140"/>
      <c r="E463" s="140"/>
      <c r="F463" s="163"/>
      <c r="G463" s="140"/>
      <c r="H463" s="140"/>
      <c r="I463" s="184"/>
    </row>
    <row r="464" spans="1:9" ht="15.75" customHeight="1">
      <c r="A464" s="66" t="s">
        <v>2001</v>
      </c>
      <c r="C464" s="106">
        <f>+PI()*B416^2/4</f>
        <v>0.2827433388230814</v>
      </c>
      <c r="D464" s="28" t="s">
        <v>108</v>
      </c>
      <c r="F464" s="68" t="s">
        <v>2002</v>
      </c>
      <c r="G464" s="106">
        <f>+C453/C464</f>
        <v>1.9708417439322312</v>
      </c>
      <c r="H464" s="28" t="s">
        <v>2381</v>
      </c>
      <c r="I464"/>
    </row>
    <row r="465" spans="1:9" ht="6" customHeight="1">
      <c r="A465" s="140"/>
      <c r="B465" s="163"/>
      <c r="C465" s="140"/>
      <c r="D465" s="140"/>
      <c r="E465" s="140"/>
      <c r="F465" s="163"/>
      <c r="G465" s="140"/>
      <c r="H465" s="140"/>
      <c r="I465" s="184"/>
    </row>
    <row r="466" spans="1:9" ht="15.75" customHeight="1">
      <c r="A466" s="14" t="s">
        <v>2003</v>
      </c>
      <c r="B466" s="186"/>
      <c r="C466" s="28"/>
      <c r="D466" s="190"/>
      <c r="E466" s="194"/>
      <c r="F466" s="189"/>
      <c r="G466"/>
      <c r="H466"/>
      <c r="I466"/>
    </row>
    <row r="467" spans="1:9" ht="15.75" customHeight="1">
      <c r="A467" s="14" t="s">
        <v>2004</v>
      </c>
      <c r="B467" s="186"/>
      <c r="C467" s="28"/>
      <c r="D467" s="190"/>
      <c r="E467" s="194"/>
      <c r="F467" s="189"/>
      <c r="G467"/>
      <c r="H467"/>
      <c r="I467"/>
    </row>
    <row r="468" spans="1:9" ht="6" customHeight="1">
      <c r="A468" s="140"/>
      <c r="B468" s="163"/>
      <c r="C468" s="140"/>
      <c r="D468" s="140"/>
      <c r="E468" s="140"/>
      <c r="F468" s="163"/>
      <c r="G468" s="140"/>
      <c r="H468" s="140"/>
      <c r="I468" s="184"/>
    </row>
    <row r="469" spans="1:9" ht="15.75" customHeight="1">
      <c r="A469" s="66" t="s">
        <v>2005</v>
      </c>
      <c r="C469" s="138">
        <f>+G464*B416/H416</f>
        <v>2687511.468998497</v>
      </c>
      <c r="D469"/>
      <c r="E469" s="140"/>
      <c r="F469" s="184"/>
      <c r="G469" s="140"/>
      <c r="H469" s="140"/>
      <c r="I469" s="140"/>
    </row>
    <row r="470" spans="2:9" ht="15.75" customHeight="1">
      <c r="B470" s="107" t="s">
        <v>2006</v>
      </c>
      <c r="C470" s="139">
        <f>+B417/B416</f>
        <v>0.0033333333333333335</v>
      </c>
      <c r="D470"/>
      <c r="E470" s="140"/>
      <c r="F470" s="140"/>
      <c r="G470" s="140"/>
      <c r="H470" s="140"/>
      <c r="I470" s="140"/>
    </row>
    <row r="471" spans="1:9" ht="6" customHeight="1">
      <c r="A471" s="107"/>
      <c r="B471" s="195"/>
      <c r="C471" s="189"/>
      <c r="D471"/>
      <c r="E471" s="140"/>
      <c r="F471" s="140"/>
      <c r="G471" s="140"/>
      <c r="H471" s="140"/>
      <c r="I471" s="140"/>
    </row>
    <row r="472" spans="1:9" ht="15.75" customHeight="1">
      <c r="A472" s="14" t="s">
        <v>2007</v>
      </c>
      <c r="B472" s="140"/>
      <c r="C472" s="140"/>
      <c r="D472" s="140"/>
      <c r="E472" s="140"/>
      <c r="F472" s="188"/>
      <c r="G472" s="184"/>
      <c r="H472" s="163"/>
      <c r="I472" s="140"/>
    </row>
    <row r="473" spans="1:9" ht="15.75" customHeight="1">
      <c r="A473" s="14" t="s">
        <v>2008</v>
      </c>
      <c r="B473" s="140"/>
      <c r="C473" s="140"/>
      <c r="D473" s="140"/>
      <c r="E473" s="140"/>
      <c r="F473" s="188"/>
      <c r="G473" s="184"/>
      <c r="H473" s="163"/>
      <c r="I473" s="140"/>
    </row>
    <row r="474" spans="1:9" ht="15.75" customHeight="1">
      <c r="A474" s="14" t="s">
        <v>2009</v>
      </c>
      <c r="B474" s="140"/>
      <c r="C474" s="140"/>
      <c r="D474" s="140"/>
      <c r="E474" s="140"/>
      <c r="F474" s="188"/>
      <c r="G474" s="184"/>
      <c r="H474" s="163"/>
      <c r="I474" s="140"/>
    </row>
    <row r="475" spans="1:9" ht="15.75" customHeight="1">
      <c r="A475" s="14" t="s">
        <v>2010</v>
      </c>
      <c r="B475" s="140"/>
      <c r="C475" s="140"/>
      <c r="D475" s="140"/>
      <c r="E475" s="140"/>
      <c r="F475" s="188"/>
      <c r="G475" s="184"/>
      <c r="H475" s="163"/>
      <c r="I475" s="140"/>
    </row>
    <row r="476" spans="1:9" ht="6" customHeight="1">
      <c r="A476" s="84"/>
      <c r="B476" s="140"/>
      <c r="C476" s="140"/>
      <c r="D476" s="140"/>
      <c r="E476" s="140"/>
      <c r="F476" s="188"/>
      <c r="G476" s="184"/>
      <c r="H476" s="163"/>
      <c r="I476" s="140"/>
    </row>
    <row r="477" spans="2:9" ht="15.75" customHeight="1">
      <c r="B477" s="107" t="s">
        <v>899</v>
      </c>
      <c r="C477" s="139">
        <v>0.026985162114859258</v>
      </c>
      <c r="D477" s="140"/>
      <c r="E477" s="140"/>
      <c r="F477" s="140"/>
      <c r="G477"/>
      <c r="H477"/>
      <c r="I477"/>
    </row>
    <row r="478" spans="1:9" ht="15.75" customHeight="1">
      <c r="A478" s="125" t="s">
        <v>901</v>
      </c>
      <c r="C478" s="138">
        <f>1/SQRT(C477)+2*LOG10(2.51/(C469*SQRT(C477))+C470/3.71)</f>
        <v>-3.223111588646077E-05</v>
      </c>
      <c r="D478" s="140"/>
      <c r="E478" s="140"/>
      <c r="F478" s="140"/>
      <c r="G478"/>
      <c r="H478"/>
      <c r="I478"/>
    </row>
    <row r="479" spans="1:9" ht="15.75" customHeight="1">
      <c r="A479" s="125" t="s">
        <v>902</v>
      </c>
      <c r="B479" s="140"/>
      <c r="C479" s="141"/>
      <c r="D479" s="140"/>
      <c r="E479" s="140"/>
      <c r="F479" s="140"/>
      <c r="G479"/>
      <c r="H479"/>
      <c r="I479"/>
    </row>
    <row r="480" spans="1:9" ht="6" customHeight="1">
      <c r="A480" s="140"/>
      <c r="B480" s="140"/>
      <c r="C480" s="140"/>
      <c r="D480" s="140"/>
      <c r="E480" s="140"/>
      <c r="F480" s="140"/>
      <c r="G480" s="156"/>
      <c r="H480" s="140"/>
      <c r="I480" s="141"/>
    </row>
    <row r="481" spans="1:9" ht="15.75" customHeight="1">
      <c r="A481" s="14" t="s">
        <v>2011</v>
      </c>
      <c r="B481" s="140"/>
      <c r="C481" s="140"/>
      <c r="D481" s="1"/>
      <c r="E481" s="66" t="s">
        <v>2012</v>
      </c>
      <c r="G481" s="139">
        <f>+(C477/B416)*G464^2/(2*H414)</f>
        <v>0.008907491185798207</v>
      </c>
      <c r="H481"/>
      <c r="I481"/>
    </row>
    <row r="482" spans="1:9" ht="6" customHeight="1">
      <c r="A482" s="140"/>
      <c r="B482" s="140"/>
      <c r="C482" s="140"/>
      <c r="D482" s="140"/>
      <c r="E482" s="140"/>
      <c r="F482" s="140"/>
      <c r="G482" s="66"/>
      <c r="H482" s="140"/>
      <c r="I482" s="186"/>
    </row>
    <row r="483" spans="1:9" ht="15.75" customHeight="1">
      <c r="A483" s="14" t="s">
        <v>1319</v>
      </c>
      <c r="B483" s="140"/>
      <c r="C483" s="140"/>
      <c r="D483" s="140"/>
      <c r="E483" s="140"/>
      <c r="F483" s="140"/>
      <c r="G483" s="66"/>
      <c r="H483" s="140"/>
      <c r="I483" s="186"/>
    </row>
    <row r="484" spans="1:9" ht="6" customHeight="1">
      <c r="A484" s="140"/>
      <c r="B484" s="140"/>
      <c r="C484" s="140"/>
      <c r="D484" s="140"/>
      <c r="E484" s="140"/>
      <c r="F484" s="140"/>
      <c r="G484" s="66"/>
      <c r="H484" s="140"/>
      <c r="I484" s="186"/>
    </row>
    <row r="485" spans="1:9" ht="15.75" customHeight="1">
      <c r="A485" s="68" t="s">
        <v>1343</v>
      </c>
      <c r="B485" s="106">
        <f>+G481*B415</f>
        <v>0.8907491185798206</v>
      </c>
      <c r="C485" s="28" t="s">
        <v>699</v>
      </c>
      <c r="D485" s="196"/>
      <c r="E485" s="107" t="s">
        <v>2013</v>
      </c>
      <c r="F485" s="106">
        <f>+G464^2/(2*H414)</f>
        <v>0.19805308890606968</v>
      </c>
      <c r="G485" s="28" t="s">
        <v>699</v>
      </c>
      <c r="H485" s="1"/>
      <c r="I485" s="1"/>
    </row>
    <row r="486" spans="1:9" ht="6" customHeight="1">
      <c r="A486" s="140"/>
      <c r="B486" s="140"/>
      <c r="C486" s="140"/>
      <c r="D486" s="140"/>
      <c r="E486" s="140"/>
      <c r="F486" s="140"/>
      <c r="G486" s="140"/>
      <c r="H486" s="140"/>
      <c r="I486" s="140"/>
    </row>
    <row r="487" spans="1:9" ht="15.75" customHeight="1">
      <c r="A487" s="14" t="s">
        <v>1371</v>
      </c>
      <c r="B487" s="140"/>
      <c r="C487" s="140"/>
      <c r="D487" s="140"/>
      <c r="E487" s="140"/>
      <c r="F487" s="140"/>
      <c r="G487" s="140"/>
      <c r="H487" s="140"/>
      <c r="I487" s="140"/>
    </row>
    <row r="488" spans="1:9" ht="6" customHeight="1">
      <c r="A488" s="140"/>
      <c r="B488" s="140"/>
      <c r="C488" s="140"/>
      <c r="D488" s="140"/>
      <c r="E488" s="140"/>
      <c r="F488" s="140"/>
      <c r="G488" s="140"/>
      <c r="H488" s="140"/>
      <c r="I488" s="140"/>
    </row>
    <row r="489" spans="1:9" ht="15.75" customHeight="1">
      <c r="A489" s="161" t="s">
        <v>2014</v>
      </c>
      <c r="B489" s="187"/>
      <c r="C489" s="74"/>
      <c r="D489" s="153">
        <f>+B485+G464^2/(2*H414)+G434</f>
        <v>14.838052357455897</v>
      </c>
      <c r="E489" s="161" t="s">
        <v>699</v>
      </c>
      <c r="G489" s="140"/>
      <c r="H489" s="140"/>
      <c r="I489" s="140"/>
    </row>
    <row r="490" spans="1:9" ht="6" customHeight="1">
      <c r="A490" s="140"/>
      <c r="B490" s="140"/>
      <c r="C490" s="140"/>
      <c r="D490" s="140"/>
      <c r="E490" s="140"/>
      <c r="F490" s="140"/>
      <c r="G490" s="140"/>
      <c r="H490" s="140"/>
      <c r="I490" s="140"/>
    </row>
    <row r="491" spans="1:9" ht="15.75" customHeight="1">
      <c r="A491" s="14" t="s">
        <v>2015</v>
      </c>
      <c r="B491" s="140"/>
      <c r="C491" s="140"/>
      <c r="D491" s="140"/>
      <c r="E491" s="140"/>
      <c r="F491" s="140"/>
      <c r="G491" s="140"/>
      <c r="H491" s="140"/>
      <c r="I491" s="140"/>
    </row>
    <row r="492" spans="1:9" ht="6" customHeight="1">
      <c r="A492" s="140"/>
      <c r="B492" s="140"/>
      <c r="C492" s="140"/>
      <c r="D492" s="140"/>
      <c r="E492" s="140"/>
      <c r="F492" s="140"/>
      <c r="G492" s="140"/>
      <c r="H492" s="140"/>
      <c r="I492" s="140"/>
    </row>
    <row r="493" spans="1:9" ht="15.75" customHeight="1">
      <c r="A493" s="117" t="s">
        <v>2016</v>
      </c>
      <c r="B493"/>
      <c r="C493" s="140"/>
      <c r="D493" s="84" t="s">
        <v>2017</v>
      </c>
      <c r="E493" s="140"/>
      <c r="F493" s="170" t="s">
        <v>2018</v>
      </c>
      <c r="G493" s="140"/>
      <c r="H493"/>
      <c r="I493" s="140"/>
    </row>
    <row r="494" spans="1:9" ht="6" customHeight="1">
      <c r="A494" s="140"/>
      <c r="B494" s="140"/>
      <c r="C494" s="140"/>
      <c r="D494" s="140"/>
      <c r="E494" s="140"/>
      <c r="F494" s="140"/>
      <c r="G494" s="140"/>
      <c r="H494" s="140"/>
      <c r="I494" s="140"/>
    </row>
    <row r="495" spans="1:9" ht="15.75" customHeight="1">
      <c r="A495" s="107" t="s">
        <v>899</v>
      </c>
      <c r="B495" s="139">
        <f>+(-2*LOG10(C470/3.71))^(-2)</f>
        <v>0.026936367117668076</v>
      </c>
      <c r="C495"/>
      <c r="D495" s="140"/>
      <c r="E495" s="140"/>
      <c r="F495" s="140"/>
      <c r="G495"/>
      <c r="H495"/>
      <c r="I495"/>
    </row>
    <row r="496" spans="1:9" ht="6" customHeight="1">
      <c r="A496" s="140"/>
      <c r="B496" s="140"/>
      <c r="C496" s="140"/>
      <c r="D496" s="140"/>
      <c r="E496" s="140"/>
      <c r="F496" s="140"/>
      <c r="G496" s="156"/>
      <c r="H496" s="140"/>
      <c r="I496" s="197"/>
    </row>
    <row r="497" spans="1:9" ht="15.75" customHeight="1">
      <c r="A497" s="14" t="s">
        <v>2011</v>
      </c>
      <c r="B497" s="140"/>
      <c r="D497" s="66" t="s">
        <v>2019</v>
      </c>
      <c r="E497" s="140"/>
      <c r="F497" s="139">
        <f>+(B495/B416)*G464^2/(2*H414)</f>
        <v>0.00889138451927008</v>
      </c>
      <c r="G497"/>
      <c r="H497"/>
      <c r="I497"/>
    </row>
    <row r="498" spans="1:9" ht="6" customHeight="1">
      <c r="A498" s="140"/>
      <c r="B498" s="140"/>
      <c r="C498" s="140"/>
      <c r="D498" s="140"/>
      <c r="E498" s="140"/>
      <c r="F498" s="140"/>
      <c r="G498" s="66"/>
      <c r="H498" s="140"/>
      <c r="I498" s="186"/>
    </row>
    <row r="499" spans="1:9" ht="15.75" customHeight="1">
      <c r="A499" s="14" t="s">
        <v>2020</v>
      </c>
      <c r="B499" s="140"/>
      <c r="C499" s="140"/>
      <c r="D499" s="140"/>
      <c r="E499" s="140"/>
      <c r="F499" s="140"/>
      <c r="G499" s="66"/>
      <c r="H499" s="140"/>
      <c r="I499" s="186"/>
    </row>
    <row r="500" spans="1:9" ht="6" customHeight="1">
      <c r="A500" s="140"/>
      <c r="B500" s="140"/>
      <c r="C500" s="140"/>
      <c r="D500" s="140"/>
      <c r="E500" s="140"/>
      <c r="F500" s="140"/>
      <c r="G500" s="66"/>
      <c r="H500" s="140"/>
      <c r="I500" s="186"/>
    </row>
    <row r="501" spans="1:9" ht="15.75" customHeight="1">
      <c r="A501" s="68" t="s">
        <v>1343</v>
      </c>
      <c r="B501" s="106">
        <f>+F497*B415</f>
        <v>0.889138451927008</v>
      </c>
      <c r="C501" s="69" t="s">
        <v>699</v>
      </c>
      <c r="D501" s="140"/>
      <c r="E501" s="107" t="s">
        <v>2013</v>
      </c>
      <c r="F501" s="106">
        <f>+F485</f>
        <v>0.19805308890606968</v>
      </c>
      <c r="G501" s="69" t="s">
        <v>699</v>
      </c>
      <c r="H501" s="1"/>
      <c r="I501" s="1"/>
    </row>
    <row r="502" spans="1:9" ht="6" customHeight="1">
      <c r="A502" s="140"/>
      <c r="B502" s="140"/>
      <c r="C502" s="140"/>
      <c r="D502" s="140"/>
      <c r="E502" s="140"/>
      <c r="F502" s="140"/>
      <c r="G502"/>
      <c r="H502"/>
      <c r="I502"/>
    </row>
    <row r="503" spans="1:9" ht="15.75" customHeight="1">
      <c r="A503" s="14" t="s">
        <v>2021</v>
      </c>
      <c r="B503" s="140"/>
      <c r="C503" s="140"/>
      <c r="D503" s="140"/>
      <c r="E503" s="140"/>
      <c r="F503" s="140"/>
      <c r="G503"/>
      <c r="H503"/>
      <c r="I503"/>
    </row>
    <row r="504" spans="1:9" ht="6" customHeight="1">
      <c r="A504" s="140"/>
      <c r="B504" s="140"/>
      <c r="C504" s="140"/>
      <c r="D504" s="140"/>
      <c r="E504" s="140"/>
      <c r="F504" s="140"/>
      <c r="G504"/>
      <c r="H504"/>
      <c r="I504"/>
    </row>
    <row r="505" spans="1:5" ht="15.75" customHeight="1">
      <c r="A505" s="154" t="s">
        <v>2022</v>
      </c>
      <c r="B505" s="187"/>
      <c r="C505" s="74"/>
      <c r="D505" s="153">
        <f>+B501+G464^2/(2*H414)+G434</f>
        <v>14.836441690803085</v>
      </c>
      <c r="E505" s="161" t="s">
        <v>699</v>
      </c>
    </row>
    <row r="506" spans="1:9" ht="6" customHeight="1">
      <c r="A506" s="69"/>
      <c r="B506" s="140"/>
      <c r="C506" s="118"/>
      <c r="D506" s="69"/>
      <c r="E506" s="84"/>
      <c r="F506" s="26"/>
      <c r="G506" s="198"/>
      <c r="H506" s="12"/>
      <c r="I506" s="12"/>
    </row>
    <row r="507" spans="1:9" ht="15.75" customHeight="1">
      <c r="A507" s="14" t="s">
        <v>2023</v>
      </c>
      <c r="C507"/>
      <c r="D507" s="198">
        <f>+ABS(D489-D505)/MIN(D489,D505)</f>
        <v>0.0001085615194248921</v>
      </c>
      <c r="F507"/>
      <c r="G507"/>
      <c r="H507"/>
      <c r="I507" s="198"/>
    </row>
    <row r="508" ht="6" customHeight="1"/>
    <row r="509" spans="1:9" ht="6" customHeight="1">
      <c r="A509" s="131"/>
      <c r="B509" s="131"/>
      <c r="C509" s="131"/>
      <c r="D509" s="131"/>
      <c r="E509" s="131"/>
      <c r="F509" s="131"/>
      <c r="G509" s="131"/>
      <c r="H509" s="131"/>
      <c r="I509" s="131"/>
    </row>
    <row r="510" ht="6" customHeight="1"/>
    <row r="511" ht="15.75" customHeight="1">
      <c r="A511" s="85" t="s">
        <v>2024</v>
      </c>
    </row>
    <row r="512" ht="6" customHeight="1">
      <c r="A512" s="1"/>
    </row>
    <row r="513" ht="15.75" customHeight="1">
      <c r="A513" s="5" t="s">
        <v>112</v>
      </c>
    </row>
    <row r="514" ht="6" customHeight="1"/>
    <row r="515" spans="1:9" ht="15.75" customHeight="1">
      <c r="A515" s="68" t="s">
        <v>2025</v>
      </c>
      <c r="B515" s="106">
        <v>30</v>
      </c>
      <c r="C515" s="69" t="s">
        <v>699</v>
      </c>
      <c r="D515" s="16" t="s">
        <v>705</v>
      </c>
      <c r="E515" s="12">
        <v>1</v>
      </c>
      <c r="F515" s="178"/>
      <c r="G515" s="68" t="s">
        <v>1017</v>
      </c>
      <c r="H515" s="68">
        <v>9.806</v>
      </c>
      <c r="I515" s="69" t="s">
        <v>1018</v>
      </c>
    </row>
    <row r="516" spans="1:9" ht="15.75" customHeight="1">
      <c r="A516" s="68" t="s">
        <v>892</v>
      </c>
      <c r="B516" s="106">
        <v>10</v>
      </c>
      <c r="C516" s="69" t="s">
        <v>699</v>
      </c>
      <c r="D516" s="68" t="s">
        <v>894</v>
      </c>
      <c r="E516" s="106">
        <v>16</v>
      </c>
      <c r="F516" s="69" t="s">
        <v>699</v>
      </c>
      <c r="G516" s="107" t="s">
        <v>1017</v>
      </c>
      <c r="H516" s="68">
        <v>12366</v>
      </c>
      <c r="I516" s="69" t="s">
        <v>713</v>
      </c>
    </row>
    <row r="517" spans="1:9" ht="15.75" customHeight="1">
      <c r="A517" s="68" t="s">
        <v>2515</v>
      </c>
      <c r="B517" s="106">
        <v>0.3</v>
      </c>
      <c r="C517" s="69" t="s">
        <v>699</v>
      </c>
      <c r="D517" s="68" t="s">
        <v>2516</v>
      </c>
      <c r="E517" s="106">
        <v>0.4</v>
      </c>
      <c r="F517" s="69" t="s">
        <v>699</v>
      </c>
      <c r="G517" s="107" t="s">
        <v>709</v>
      </c>
      <c r="H517" s="138">
        <v>6.35E-05</v>
      </c>
      <c r="I517" s="69" t="s">
        <v>893</v>
      </c>
    </row>
    <row r="518" spans="1:9" ht="15.75" customHeight="1">
      <c r="A518" s="107" t="s">
        <v>2026</v>
      </c>
      <c r="B518" s="106">
        <v>0</v>
      </c>
      <c r="C518" s="69" t="s">
        <v>699</v>
      </c>
      <c r="D518" s="107" t="s">
        <v>896</v>
      </c>
      <c r="E518" s="106">
        <v>0.005</v>
      </c>
      <c r="F518" s="69" t="s">
        <v>699</v>
      </c>
      <c r="G518" s="106" t="s">
        <v>2373</v>
      </c>
      <c r="H518" s="106">
        <v>0.3</v>
      </c>
      <c r="I518" s="69" t="s">
        <v>2374</v>
      </c>
    </row>
    <row r="519" spans="1:9" ht="15.75" customHeight="1">
      <c r="A519" s="107" t="s">
        <v>2027</v>
      </c>
      <c r="B519" s="106">
        <v>0.005</v>
      </c>
      <c r="C519" s="69" t="s">
        <v>699</v>
      </c>
      <c r="D519" s="68"/>
      <c r="E519" s="106"/>
      <c r="F519" s="69"/>
      <c r="G519"/>
      <c r="H519"/>
      <c r="I519"/>
    </row>
    <row r="520" spans="1:9" ht="6" customHeight="1">
      <c r="A520" s="107"/>
      <c r="B520" s="106"/>
      <c r="C520" s="69"/>
      <c r="D520" s="68"/>
      <c r="E520" s="106"/>
      <c r="F520" s="69"/>
      <c r="G520"/>
      <c r="H520"/>
      <c r="I520"/>
    </row>
    <row r="521" spans="1:9" ht="15.75" customHeight="1">
      <c r="A521" s="76" t="s">
        <v>2028</v>
      </c>
      <c r="B521" s="106"/>
      <c r="C521" s="69"/>
      <c r="D521" s="68"/>
      <c r="E521" s="106"/>
      <c r="F521" s="69"/>
      <c r="G521"/>
      <c r="H521"/>
      <c r="I521"/>
    </row>
    <row r="522" spans="1:9" ht="6" customHeight="1">
      <c r="A522" s="156"/>
      <c r="B522" s="106"/>
      <c r="C522" s="69"/>
      <c r="D522" s="68"/>
      <c r="E522" s="106"/>
      <c r="F522" s="69"/>
      <c r="G522"/>
      <c r="H522"/>
      <c r="I522"/>
    </row>
    <row r="523" spans="1:9" ht="15.75" customHeight="1">
      <c r="A523" s="5" t="s">
        <v>113</v>
      </c>
      <c r="B523" s="106"/>
      <c r="C523" s="69"/>
      <c r="D523" s="68"/>
      <c r="E523" s="106"/>
      <c r="F523" s="69"/>
      <c r="G523"/>
      <c r="H523"/>
      <c r="I523"/>
    </row>
    <row r="524" spans="1:9" ht="6" customHeight="1">
      <c r="A524" s="68"/>
      <c r="B524" s="106"/>
      <c r="C524"/>
      <c r="D524"/>
      <c r="E524"/>
      <c r="F524"/>
      <c r="G524"/>
      <c r="H524"/>
      <c r="I524"/>
    </row>
    <row r="525" spans="1:2" ht="15.75" customHeight="1">
      <c r="A525"/>
      <c r="B525" s="135" t="s">
        <v>2226</v>
      </c>
    </row>
    <row r="526" ht="6" customHeight="1"/>
    <row r="527" spans="1:9" ht="15.75" customHeight="1">
      <c r="A527" s="14" t="s">
        <v>44</v>
      </c>
      <c r="C527" s="15">
        <f>+PI()*B517^2/4</f>
        <v>0.07068583470577035</v>
      </c>
      <c r="D527" s="28" t="s">
        <v>108</v>
      </c>
      <c r="E527"/>
      <c r="F527" s="12" t="s">
        <v>1014</v>
      </c>
      <c r="H527" s="15">
        <f>+PI()*E517^2/4</f>
        <v>0.12566370614359174</v>
      </c>
      <c r="I527" s="28" t="s">
        <v>108</v>
      </c>
    </row>
    <row r="528" spans="1:9" ht="15.75" customHeight="1">
      <c r="A528" s="14" t="s">
        <v>1015</v>
      </c>
      <c r="C528" s="15">
        <f>+H518/C527</f>
        <v>4.244131815783875</v>
      </c>
      <c r="D528" s="28" t="s">
        <v>2381</v>
      </c>
      <c r="E528"/>
      <c r="F528" s="12" t="s">
        <v>296</v>
      </c>
      <c r="H528" s="15">
        <f>+H518/H527</f>
        <v>2.38732414637843</v>
      </c>
      <c r="I528" s="28" t="s">
        <v>2381</v>
      </c>
    </row>
    <row r="529" spans="1:9" ht="15.75" customHeight="1">
      <c r="A529" s="14" t="s">
        <v>297</v>
      </c>
      <c r="C529" s="145">
        <f>+C528*B517/H517</f>
        <v>20051.016452522246</v>
      </c>
      <c r="D529" s="28"/>
      <c r="E529" s="26"/>
      <c r="F529" s="12" t="s">
        <v>298</v>
      </c>
      <c r="H529" s="145">
        <f>+H528*E517/H517</f>
        <v>15038.262339391686</v>
      </c>
      <c r="I529" s="28"/>
    </row>
    <row r="530" spans="1:9" ht="15.75" customHeight="1">
      <c r="A530" s="174" t="s">
        <v>299</v>
      </c>
      <c r="C530" s="106">
        <f>+B518/B517</f>
        <v>0</v>
      </c>
      <c r="D530" s="125" t="s">
        <v>300</v>
      </c>
      <c r="E530"/>
      <c r="G530" s="107" t="s">
        <v>301</v>
      </c>
      <c r="H530" s="106">
        <f>+E518/E517</f>
        <v>0.012499999999999999</v>
      </c>
      <c r="I530" s="125" t="s">
        <v>300</v>
      </c>
    </row>
    <row r="531" spans="1:7" ht="15.75" customHeight="1">
      <c r="A531" s="174" t="s">
        <v>302</v>
      </c>
      <c r="C531" s="106">
        <f>+B519/B517</f>
        <v>0.016666666666666666</v>
      </c>
      <c r="D531" s="125" t="s">
        <v>300</v>
      </c>
      <c r="F531"/>
      <c r="G531" s="1"/>
    </row>
    <row r="532" ht="6" customHeight="1"/>
    <row r="533" spans="1:7" ht="15.75" customHeight="1">
      <c r="A533" s="82"/>
      <c r="B533"/>
      <c r="C533" s="117" t="s">
        <v>303</v>
      </c>
      <c r="E533"/>
      <c r="G533" s="27"/>
    </row>
    <row r="534" ht="6" customHeight="1"/>
    <row r="535" spans="2:9" ht="15.75" customHeight="1">
      <c r="B535" s="16" t="s">
        <v>304</v>
      </c>
      <c r="C535" s="150">
        <v>0.025864731477960395</v>
      </c>
      <c r="D535" s="27"/>
      <c r="E535"/>
      <c r="G535" s="16" t="s">
        <v>900</v>
      </c>
      <c r="H535" s="150">
        <v>0.04411956483378807</v>
      </c>
      <c r="I535" s="1"/>
    </row>
    <row r="536" spans="1:9" ht="15.75" customHeight="1">
      <c r="A536" s="125" t="s">
        <v>901</v>
      </c>
      <c r="C536" s="145">
        <f>1/SQRT(C535)+2*LOG10(2.51/(C529*SQRT(C535)))</f>
        <v>0.0002993229792043195</v>
      </c>
      <c r="D536" s="27"/>
      <c r="F536" s="125" t="s">
        <v>901</v>
      </c>
      <c r="H536" s="166">
        <f>1/SQRT(H535)+2*LOG10(2.51/(H529*SQRT(H535))+H530/3.71)</f>
        <v>-0.00015185905572412395</v>
      </c>
      <c r="I536" s="1"/>
    </row>
    <row r="537" spans="1:9" ht="15.75" customHeight="1">
      <c r="A537" s="29"/>
      <c r="B537" s="29" t="s">
        <v>1641</v>
      </c>
      <c r="C537" s="28"/>
      <c r="D537" s="27"/>
      <c r="E537" s="14"/>
      <c r="F537" s="29"/>
      <c r="G537" s="29" t="s">
        <v>1641</v>
      </c>
      <c r="I537" s="1"/>
    </row>
    <row r="538" spans="1:9" ht="5.25" customHeight="1">
      <c r="A538" s="146"/>
      <c r="B538" s="12"/>
      <c r="C538" s="28"/>
      <c r="D538" s="27"/>
      <c r="E538"/>
      <c r="F538" s="146"/>
      <c r="G538" s="146"/>
      <c r="I538" s="1"/>
    </row>
    <row r="539" spans="1:8" ht="15.75" customHeight="1">
      <c r="A539" s="14" t="s">
        <v>305</v>
      </c>
      <c r="C539" s="150">
        <f>+(C535/B517)*C528^2/(2*H515)</f>
        <v>0.07918493463376707</v>
      </c>
      <c r="D539" s="28"/>
      <c r="F539" s="14" t="s">
        <v>1342</v>
      </c>
      <c r="H539" s="199">
        <f>+(H535/E517)*H528^2/(2*H515)</f>
        <v>0.03205325404782341</v>
      </c>
    </row>
    <row r="540" spans="2:9" ht="15.75" customHeight="1">
      <c r="B540" s="12" t="s">
        <v>306</v>
      </c>
      <c r="C540" s="15">
        <f>+C539*B516</f>
        <v>0.7918493463376707</v>
      </c>
      <c r="D540" s="28" t="s">
        <v>699</v>
      </c>
      <c r="E540"/>
      <c r="G540" s="12" t="s">
        <v>1344</v>
      </c>
      <c r="H540" s="15">
        <f>+H539*E516</f>
        <v>0.5128520647651745</v>
      </c>
      <c r="I540" s="28" t="s">
        <v>699</v>
      </c>
    </row>
    <row r="541" spans="1:8" ht="5.25" customHeight="1">
      <c r="A541"/>
      <c r="B541"/>
      <c r="C541"/>
      <c r="D541" s="27"/>
      <c r="E541"/>
      <c r="F541"/>
      <c r="G541"/>
      <c r="H541" s="15"/>
    </row>
    <row r="542" spans="2:3" ht="15.75" customHeight="1">
      <c r="B542" s="16" t="s">
        <v>307</v>
      </c>
      <c r="C542" s="150">
        <v>0.04745840563497733</v>
      </c>
    </row>
    <row r="543" spans="1:7" ht="15.75" customHeight="1">
      <c r="A543" s="125" t="s">
        <v>901</v>
      </c>
      <c r="C543" s="166">
        <f>1/SQRT(C542)+2*LOG10(2.51/(C529*SQRT(C542))+C531/3.71)</f>
        <v>-0.00017617991107243824</v>
      </c>
      <c r="D543"/>
      <c r="E543"/>
      <c r="F543"/>
      <c r="G543"/>
    </row>
    <row r="544" spans="1:3" ht="15.75" customHeight="1">
      <c r="A544" s="29"/>
      <c r="B544" s="29" t="s">
        <v>1641</v>
      </c>
      <c r="C544" s="28"/>
    </row>
    <row r="545" spans="1:3" ht="6" customHeight="1">
      <c r="A545" s="146"/>
      <c r="B545" s="12"/>
      <c r="C545" s="28"/>
    </row>
    <row r="546" spans="1:4" ht="15.75" customHeight="1">
      <c r="A546" s="14" t="s">
        <v>308</v>
      </c>
      <c r="C546" s="150">
        <f>+(C542/B517)*C528^2/(2*H515)</f>
        <v>0.14529401750142681</v>
      </c>
      <c r="D546" s="28"/>
    </row>
    <row r="547" spans="2:4" ht="15.75" customHeight="1">
      <c r="B547" s="12" t="s">
        <v>309</v>
      </c>
      <c r="C547" s="15">
        <f>+C546*B516</f>
        <v>1.452940175014268</v>
      </c>
      <c r="D547" s="28" t="s">
        <v>699</v>
      </c>
    </row>
    <row r="548" spans="1:7" ht="6" customHeight="1">
      <c r="A548"/>
      <c r="B548"/>
      <c r="C548"/>
      <c r="D548"/>
      <c r="E548"/>
      <c r="F548"/>
      <c r="G548"/>
    </row>
    <row r="549" spans="1:9" ht="15.75" customHeight="1">
      <c r="A549" s="100" t="s">
        <v>310</v>
      </c>
      <c r="D549" s="15">
        <f>1.16*C528^2/(2*H515)</f>
        <v>1.0654027967014463</v>
      </c>
      <c r="E549" s="28" t="s">
        <v>699</v>
      </c>
      <c r="F549" s="100" t="s">
        <v>2054</v>
      </c>
      <c r="H549" s="15">
        <f>+H528^2/(2*H515)</f>
        <v>0.29060353762398017</v>
      </c>
      <c r="I549" s="28" t="s">
        <v>699</v>
      </c>
    </row>
    <row r="550" spans="1:7" ht="6" customHeight="1">
      <c r="A550"/>
      <c r="B550"/>
      <c r="C550"/>
      <c r="D550"/>
      <c r="E550"/>
      <c r="F550"/>
      <c r="G550"/>
    </row>
    <row r="551" spans="3:7" ht="15.75" customHeight="1">
      <c r="C551" s="100" t="s">
        <v>2055</v>
      </c>
      <c r="D551" s="1"/>
      <c r="F551" s="15">
        <f>+(C528-H528)^2/(2*H515)</f>
        <v>0.17579720177253128</v>
      </c>
      <c r="G551" s="120" t="s">
        <v>699</v>
      </c>
    </row>
    <row r="552" ht="6" customHeight="1"/>
    <row r="553" spans="1:6" ht="15.75" customHeight="1">
      <c r="A553" s="74" t="s">
        <v>2056</v>
      </c>
      <c r="B553" s="10"/>
      <c r="C553" s="74"/>
      <c r="D553" s="74"/>
      <c r="E553" s="74"/>
      <c r="F553" s="10"/>
    </row>
    <row r="554" spans="2:9" ht="15.75" customHeight="1">
      <c r="B554" s="12"/>
      <c r="C554" s="28"/>
      <c r="E554" s="200" t="s">
        <v>2057</v>
      </c>
      <c r="F554" s="74"/>
      <c r="G554" s="74"/>
      <c r="H554" s="201">
        <f>+B515+D549+C540+F551+H540+H549</f>
        <v>32.8365049472008</v>
      </c>
      <c r="I554" s="202" t="s">
        <v>699</v>
      </c>
    </row>
    <row r="555" spans="6:9" ht="6" customHeight="1">
      <c r="F555" s="1"/>
      <c r="I555" s="4"/>
    </row>
    <row r="556" spans="1:6" ht="15.75" customHeight="1">
      <c r="A556" s="74" t="s">
        <v>2058</v>
      </c>
      <c r="B556" s="10"/>
      <c r="C556" s="74"/>
      <c r="D556" s="74"/>
      <c r="E556" s="74"/>
      <c r="F556" s="10"/>
    </row>
    <row r="557" spans="2:9" ht="15.75" customHeight="1">
      <c r="B557" s="140"/>
      <c r="C557" s="191"/>
      <c r="D557" s="69"/>
      <c r="E557" s="200" t="s">
        <v>2057</v>
      </c>
      <c r="F557" s="203"/>
      <c r="G557" s="203"/>
      <c r="H557" s="201">
        <f>+B515+D549+C547+F551+H540+H549</f>
        <v>33.4975957758774</v>
      </c>
      <c r="I557" s="154" t="s">
        <v>699</v>
      </c>
    </row>
    <row r="558" spans="1:9" ht="6" customHeight="1">
      <c r="A558" s="69"/>
      <c r="B558" s="140"/>
      <c r="C558" s="191"/>
      <c r="D558" s="69"/>
      <c r="E558" s="84"/>
      <c r="F558"/>
      <c r="G558"/>
      <c r="H558"/>
      <c r="I558" s="198"/>
    </row>
    <row r="559" spans="1:9" ht="6" customHeight="1">
      <c r="A559" s="131"/>
      <c r="B559" s="131"/>
      <c r="C559" s="131"/>
      <c r="D559" s="131"/>
      <c r="E559" s="131"/>
      <c r="F559" s="131"/>
      <c r="G559" s="131"/>
      <c r="H559" s="131"/>
      <c r="I559" s="131"/>
    </row>
    <row r="560" ht="6" customHeight="1"/>
    <row r="561" ht="15.75" customHeight="1">
      <c r="A561" s="85" t="s">
        <v>2059</v>
      </c>
    </row>
    <row r="562" ht="6" customHeight="1">
      <c r="A562" s="1"/>
    </row>
    <row r="563" ht="15.75" customHeight="1">
      <c r="A563" s="5" t="s">
        <v>112</v>
      </c>
    </row>
    <row r="564" ht="6" customHeight="1"/>
    <row r="565" spans="1:9" ht="15.75" customHeight="1">
      <c r="A565" s="68" t="s">
        <v>2025</v>
      </c>
      <c r="B565" s="106">
        <v>30</v>
      </c>
      <c r="C565" s="69" t="s">
        <v>699</v>
      </c>
      <c r="D565" s="16" t="s">
        <v>705</v>
      </c>
      <c r="E565" s="12">
        <v>1</v>
      </c>
      <c r="F565" s="178"/>
      <c r="G565" s="68" t="s">
        <v>1017</v>
      </c>
      <c r="H565" s="68">
        <v>9.806</v>
      </c>
      <c r="I565" s="69" t="s">
        <v>1018</v>
      </c>
    </row>
    <row r="566" spans="1:9" ht="15.75" customHeight="1">
      <c r="A566" s="68" t="s">
        <v>892</v>
      </c>
      <c r="B566" s="106">
        <v>10</v>
      </c>
      <c r="C566" s="69" t="s">
        <v>699</v>
      </c>
      <c r="D566" s="68" t="s">
        <v>894</v>
      </c>
      <c r="E566" s="106">
        <v>16</v>
      </c>
      <c r="F566" s="69" t="s">
        <v>699</v>
      </c>
      <c r="G566" s="107" t="s">
        <v>1017</v>
      </c>
      <c r="H566" s="68">
        <v>12366</v>
      </c>
      <c r="I566" s="69" t="s">
        <v>713</v>
      </c>
    </row>
    <row r="567" spans="1:9" ht="15.75" customHeight="1">
      <c r="A567" s="68" t="s">
        <v>2515</v>
      </c>
      <c r="B567" s="106">
        <v>0.3</v>
      </c>
      <c r="C567" s="69" t="s">
        <v>699</v>
      </c>
      <c r="D567" s="68" t="s">
        <v>2516</v>
      </c>
      <c r="E567" s="106">
        <v>0.4</v>
      </c>
      <c r="F567" s="69" t="s">
        <v>699</v>
      </c>
      <c r="G567" s="107" t="s">
        <v>709</v>
      </c>
      <c r="H567" s="138">
        <v>6.35E-05</v>
      </c>
      <c r="I567" s="69" t="s">
        <v>893</v>
      </c>
    </row>
    <row r="568" spans="1:9" ht="15.75" customHeight="1">
      <c r="A568" s="107" t="s">
        <v>2026</v>
      </c>
      <c r="B568" s="106">
        <v>0</v>
      </c>
      <c r="C568" s="69" t="s">
        <v>699</v>
      </c>
      <c r="D568" s="107" t="s">
        <v>896</v>
      </c>
      <c r="E568" s="106">
        <v>0.005</v>
      </c>
      <c r="F568" s="69" t="s">
        <v>699</v>
      </c>
      <c r="G568" s="106" t="s">
        <v>2373</v>
      </c>
      <c r="H568" s="106">
        <v>0.3</v>
      </c>
      <c r="I568" s="69" t="s">
        <v>2374</v>
      </c>
    </row>
    <row r="569" spans="1:9" ht="15.75" customHeight="1">
      <c r="A569" s="107" t="s">
        <v>2027</v>
      </c>
      <c r="B569" s="106">
        <v>0.005</v>
      </c>
      <c r="C569" s="69" t="s">
        <v>699</v>
      </c>
      <c r="D569" s="68" t="s">
        <v>2060</v>
      </c>
      <c r="E569" s="106">
        <v>0.3</v>
      </c>
      <c r="F569" s="69"/>
      <c r="G569" s="106"/>
      <c r="H569" s="106"/>
      <c r="I569" s="69"/>
    </row>
    <row r="570" spans="1:9" ht="6" customHeight="1">
      <c r="A570" s="107"/>
      <c r="B570" s="106"/>
      <c r="C570" s="69"/>
      <c r="D570" s="68"/>
      <c r="E570" s="106"/>
      <c r="F570" s="69"/>
      <c r="G570" s="106"/>
      <c r="H570" s="106"/>
      <c r="I570" s="69"/>
    </row>
    <row r="571" spans="1:9" ht="15.75" customHeight="1">
      <c r="A571" s="76" t="s">
        <v>2028</v>
      </c>
      <c r="B571" s="106"/>
      <c r="C571" s="69"/>
      <c r="D571" s="68"/>
      <c r="E571" s="106"/>
      <c r="F571" s="69"/>
      <c r="G571"/>
      <c r="H571"/>
      <c r="I571"/>
    </row>
    <row r="572" spans="1:9" ht="6" customHeight="1">
      <c r="A572" s="156"/>
      <c r="B572" s="106"/>
      <c r="C572" s="69"/>
      <c r="D572" s="68"/>
      <c r="E572" s="106"/>
      <c r="F572" s="69"/>
      <c r="G572"/>
      <c r="H572"/>
      <c r="I572"/>
    </row>
    <row r="573" spans="1:9" ht="15.75" customHeight="1">
      <c r="A573" s="5" t="s">
        <v>113</v>
      </c>
      <c r="B573" s="106"/>
      <c r="C573" s="69"/>
      <c r="D573" s="68"/>
      <c r="E573" s="106"/>
      <c r="F573" s="69"/>
      <c r="G573"/>
      <c r="H573"/>
      <c r="I573"/>
    </row>
    <row r="574" spans="1:9" ht="6" customHeight="1">
      <c r="A574" s="107"/>
      <c r="B574" s="106"/>
      <c r="C574" s="69"/>
      <c r="D574" s="68"/>
      <c r="E574" s="106"/>
      <c r="F574" s="69"/>
      <c r="G574" s="106"/>
      <c r="H574" s="106"/>
      <c r="I574" s="69"/>
    </row>
    <row r="575" spans="1:2" ht="15.75" customHeight="1">
      <c r="A575"/>
      <c r="B575" s="135" t="s">
        <v>2061</v>
      </c>
    </row>
    <row r="576" ht="6" customHeight="1"/>
    <row r="577" spans="1:9" ht="15.75" customHeight="1">
      <c r="A577" s="14" t="s">
        <v>44</v>
      </c>
      <c r="C577" s="15">
        <f>+PI()*B567^2/4</f>
        <v>0.07068583470577035</v>
      </c>
      <c r="D577" s="28" t="s">
        <v>108</v>
      </c>
      <c r="E577"/>
      <c r="F577" s="12" t="s">
        <v>1014</v>
      </c>
      <c r="H577" s="15">
        <f>+PI()*E567^2/4</f>
        <v>0.12566370614359174</v>
      </c>
      <c r="I577" s="28" t="s">
        <v>108</v>
      </c>
    </row>
    <row r="578" spans="1:9" ht="15.75" customHeight="1">
      <c r="A578" s="14" t="s">
        <v>1015</v>
      </c>
      <c r="C578" s="15">
        <f>+H568/C577</f>
        <v>4.244131815783875</v>
      </c>
      <c r="D578" s="28" t="s">
        <v>2381</v>
      </c>
      <c r="E578"/>
      <c r="F578" s="12" t="s">
        <v>296</v>
      </c>
      <c r="H578" s="15">
        <f>+H568/H577</f>
        <v>2.38732414637843</v>
      </c>
      <c r="I578" s="28" t="s">
        <v>2381</v>
      </c>
    </row>
    <row r="579" spans="1:9" ht="15.75" customHeight="1">
      <c r="A579" s="14" t="s">
        <v>297</v>
      </c>
      <c r="C579" s="145">
        <f>+C578*B567/H567</f>
        <v>20051.016452522246</v>
      </c>
      <c r="D579" s="28"/>
      <c r="E579"/>
      <c r="F579" s="12" t="s">
        <v>298</v>
      </c>
      <c r="H579" s="145">
        <f>+H578*E567/H567</f>
        <v>15038.262339391686</v>
      </c>
      <c r="I579" s="28"/>
    </row>
    <row r="580" spans="1:9" ht="15.75" customHeight="1">
      <c r="A580" s="174" t="s">
        <v>299</v>
      </c>
      <c r="C580" s="106">
        <f>+B568/B567</f>
        <v>0</v>
      </c>
      <c r="D580" s="125" t="s">
        <v>300</v>
      </c>
      <c r="E580"/>
      <c r="G580" s="107" t="s">
        <v>301</v>
      </c>
      <c r="H580" s="106">
        <f>+E568/E567</f>
        <v>0.012499999999999999</v>
      </c>
      <c r="I580" s="125" t="s">
        <v>300</v>
      </c>
    </row>
    <row r="581" spans="1:7" ht="15.75" customHeight="1">
      <c r="A581" s="174" t="s">
        <v>302</v>
      </c>
      <c r="C581" s="106">
        <f>+B569/B567</f>
        <v>0.016666666666666666</v>
      </c>
      <c r="D581" s="125" t="s">
        <v>300</v>
      </c>
      <c r="F581"/>
      <c r="G581" s="1"/>
    </row>
    <row r="582" ht="5.25" customHeight="1"/>
    <row r="583" spans="1:7" ht="15.75" customHeight="1">
      <c r="A583" s="117"/>
      <c r="B583"/>
      <c r="C583" s="117" t="s">
        <v>303</v>
      </c>
      <c r="D583" s="27"/>
      <c r="F583" s="1"/>
      <c r="G583" s="27"/>
    </row>
    <row r="584" ht="5.25" customHeight="1"/>
    <row r="585" spans="2:8" ht="15.75" customHeight="1">
      <c r="B585" s="16" t="s">
        <v>304</v>
      </c>
      <c r="C585" s="150">
        <v>0.025864731477960395</v>
      </c>
      <c r="G585" s="16" t="s">
        <v>900</v>
      </c>
      <c r="H585" s="150">
        <v>0.04411956487111757</v>
      </c>
    </row>
    <row r="586" spans="1:8" ht="15.75" customHeight="1">
      <c r="A586" s="125" t="s">
        <v>901</v>
      </c>
      <c r="C586" s="145">
        <f>1/SQRT(C585)+2*LOG10(2.51/(C579*SQRT(C585)))</f>
        <v>0.0002993229792043195</v>
      </c>
      <c r="E586" s="125" t="s">
        <v>2062</v>
      </c>
      <c r="F586" s="125" t="s">
        <v>901</v>
      </c>
      <c r="H586" s="166">
        <f>1/SQRT(H585)+2*LOG10(2.51/(H579*SQRT(H585))+H580/3.71)</f>
        <v>-0.00015186113992182726</v>
      </c>
    </row>
    <row r="587" spans="1:8" ht="15.75" customHeight="1">
      <c r="A587" s="29"/>
      <c r="B587" s="29" t="s">
        <v>1641</v>
      </c>
      <c r="C587" s="28"/>
      <c r="E587" s="84"/>
      <c r="F587" s="29"/>
      <c r="G587" s="29" t="s">
        <v>1641</v>
      </c>
      <c r="H587" s="12"/>
    </row>
    <row r="588" spans="1:8" ht="6" customHeight="1">
      <c r="A588" s="146"/>
      <c r="B588" s="12"/>
      <c r="C588" s="28"/>
      <c r="F588" s="146"/>
      <c r="G588" s="146"/>
      <c r="H588" s="146"/>
    </row>
    <row r="589" spans="1:8" ht="15.75" customHeight="1">
      <c r="A589" s="14" t="s">
        <v>305</v>
      </c>
      <c r="C589" s="150">
        <f>+(C585/B567)*C578^2/(2*H515)</f>
        <v>0.07918493463376707</v>
      </c>
      <c r="D589" s="28"/>
      <c r="E589" s="14" t="s">
        <v>2063</v>
      </c>
      <c r="F589" s="14" t="s">
        <v>1342</v>
      </c>
      <c r="H589" s="150">
        <f>+(H585/E567)*H578^2/(2*H515)</f>
        <v>0.03205325407494362</v>
      </c>
    </row>
    <row r="590" spans="2:9" ht="15.75" customHeight="1">
      <c r="B590" s="12" t="s">
        <v>306</v>
      </c>
      <c r="C590" s="15">
        <f>+C589*B566</f>
        <v>0.7918493463376707</v>
      </c>
      <c r="D590" s="28" t="s">
        <v>699</v>
      </c>
      <c r="G590" s="12" t="s">
        <v>1344</v>
      </c>
      <c r="H590" s="15">
        <f>+H589*E566</f>
        <v>0.5128520651990979</v>
      </c>
      <c r="I590" s="28" t="s">
        <v>699</v>
      </c>
    </row>
    <row r="591" spans="1:3" ht="6" customHeight="1">
      <c r="A591" s="12"/>
      <c r="B591" s="15"/>
      <c r="C591" s="28"/>
    </row>
    <row r="592" spans="2:8" ht="15.75" customHeight="1">
      <c r="B592" s="16" t="s">
        <v>307</v>
      </c>
      <c r="C592" s="150">
        <v>0.04745840564379304</v>
      </c>
      <c r="D592" s="27"/>
      <c r="E592"/>
      <c r="F592"/>
      <c r="G592" s="1"/>
      <c r="H592" s="1"/>
    </row>
    <row r="593" spans="1:8" ht="15.75" customHeight="1">
      <c r="A593" s="125" t="s">
        <v>901</v>
      </c>
      <c r="C593" s="166">
        <f>1/SQRT(C592)+2*LOG10(2.51/(C579*SQRT(C592))+C581/3.71)</f>
        <v>-0.00017618034656230463</v>
      </c>
      <c r="D593" s="27"/>
      <c r="E593"/>
      <c r="F593"/>
      <c r="G593" s="1"/>
      <c r="H593" s="1"/>
    </row>
    <row r="594" spans="1:8" ht="15.75" customHeight="1">
      <c r="A594" s="29"/>
      <c r="B594" s="29" t="s">
        <v>1641</v>
      </c>
      <c r="C594" s="28"/>
      <c r="D594" s="27"/>
      <c r="E594"/>
      <c r="F594"/>
      <c r="G594" s="1"/>
      <c r="H594" s="1"/>
    </row>
    <row r="595" spans="1:8" ht="6" customHeight="1">
      <c r="A595" s="146"/>
      <c r="B595" s="12"/>
      <c r="C595" s="28"/>
      <c r="D595" s="27"/>
      <c r="E595"/>
      <c r="F595"/>
      <c r="G595" s="1"/>
      <c r="H595" s="1"/>
    </row>
    <row r="596" spans="1:8" ht="15.75" customHeight="1">
      <c r="A596" s="14" t="s">
        <v>308</v>
      </c>
      <c r="C596" s="150">
        <f>+(C592/B567)*C578^2/(2*H515)</f>
        <v>0.14529401752841614</v>
      </c>
      <c r="D596" s="27"/>
      <c r="E596"/>
      <c r="F596"/>
      <c r="G596" s="1"/>
      <c r="H596" s="1"/>
    </row>
    <row r="597" spans="2:8" ht="15.75" customHeight="1">
      <c r="B597" s="12" t="s">
        <v>309</v>
      </c>
      <c r="C597" s="15">
        <f>+C596*B566</f>
        <v>1.4529401752841613</v>
      </c>
      <c r="D597" s="28" t="s">
        <v>699</v>
      </c>
      <c r="E597"/>
      <c r="F597"/>
      <c r="G597" s="1"/>
      <c r="H597" s="1"/>
    </row>
    <row r="598" spans="1:7" ht="6" customHeight="1">
      <c r="A598"/>
      <c r="B598"/>
      <c r="D598"/>
      <c r="E598"/>
      <c r="F598"/>
      <c r="G598"/>
    </row>
    <row r="599" spans="1:9" ht="15.75" customHeight="1">
      <c r="A599" s="100" t="s">
        <v>310</v>
      </c>
      <c r="B599" s="100"/>
      <c r="D599" s="15">
        <f>1.16*C578^2/(2*H565)</f>
        <v>1.0654027967014463</v>
      </c>
      <c r="E599" s="28" t="s">
        <v>699</v>
      </c>
      <c r="F599" s="100" t="s">
        <v>2054</v>
      </c>
      <c r="H599" s="15">
        <f>+H578^2/(2*H565)</f>
        <v>0.29060353762398017</v>
      </c>
      <c r="I599" s="28" t="s">
        <v>699</v>
      </c>
    </row>
    <row r="600" spans="1:7" ht="6" customHeight="1">
      <c r="A600"/>
      <c r="B600"/>
      <c r="C600"/>
      <c r="D600"/>
      <c r="E600"/>
      <c r="F600"/>
      <c r="G600"/>
    </row>
    <row r="601" spans="3:7" ht="15.75" customHeight="1">
      <c r="C601" s="16" t="s">
        <v>2064</v>
      </c>
      <c r="D601" s="1"/>
      <c r="F601" s="15">
        <f>+E569*(C578-H578)^2/(2*H565)</f>
        <v>0.05273916053175938</v>
      </c>
      <c r="G601" s="120" t="s">
        <v>699</v>
      </c>
    </row>
    <row r="602" ht="6" customHeight="1"/>
    <row r="603" spans="1:9" ht="15.75" customHeight="1">
      <c r="A603" s="74" t="s">
        <v>2065</v>
      </c>
      <c r="B603" s="10"/>
      <c r="C603" s="74"/>
      <c r="D603" s="74"/>
      <c r="E603" s="74"/>
      <c r="F603" s="10"/>
      <c r="I603" s="1"/>
    </row>
    <row r="604" spans="2:9" ht="15.75" customHeight="1">
      <c r="B604" s="1"/>
      <c r="E604" s="200" t="s">
        <v>2057</v>
      </c>
      <c r="F604" s="74"/>
      <c r="G604" s="9"/>
      <c r="H604" s="201">
        <f>+B565+D599+C590+F601+H590+H599</f>
        <v>32.713446906393955</v>
      </c>
      <c r="I604" s="202" t="s">
        <v>699</v>
      </c>
    </row>
    <row r="605" spans="2:9" ht="6" customHeight="1">
      <c r="B605" s="1"/>
      <c r="E605" s="204"/>
      <c r="F605" s="28"/>
      <c r="G605" s="9"/>
      <c r="H605" s="201"/>
      <c r="I605" s="202"/>
    </row>
    <row r="606" spans="1:9" ht="15.75" customHeight="1">
      <c r="A606" s="74" t="s">
        <v>2066</v>
      </c>
      <c r="B606" s="10"/>
      <c r="C606" s="74"/>
      <c r="D606" s="74"/>
      <c r="E606" s="74"/>
      <c r="F606" s="10"/>
      <c r="I606" s="1"/>
    </row>
    <row r="607" spans="2:9" ht="15.75" customHeight="1">
      <c r="B607" s="140"/>
      <c r="C607" s="191"/>
      <c r="D607" s="69"/>
      <c r="E607" s="200" t="s">
        <v>2057</v>
      </c>
      <c r="F607" s="203"/>
      <c r="G607" s="203"/>
      <c r="H607" s="153">
        <f>B565+D599+C597+F601+H590+H599</f>
        <v>33.37453773534044</v>
      </c>
      <c r="I607" s="202" t="s">
        <v>699</v>
      </c>
    </row>
    <row r="608" spans="1:9" ht="6" customHeight="1">
      <c r="A608" s="69"/>
      <c r="B608" s="140"/>
      <c r="C608" s="191"/>
      <c r="D608" s="69"/>
      <c r="E608" s="84"/>
      <c r="F608"/>
      <c r="G608"/>
      <c r="H608"/>
      <c r="I608" s="198"/>
    </row>
    <row r="609" spans="1:9" ht="6" customHeight="1">
      <c r="A609" s="131"/>
      <c r="B609" s="131"/>
      <c r="C609" s="131"/>
      <c r="D609" s="131"/>
      <c r="E609" s="131"/>
      <c r="F609" s="131"/>
      <c r="G609" s="131"/>
      <c r="H609" s="131"/>
      <c r="I609" s="131"/>
    </row>
    <row r="610" ht="6" customHeight="1"/>
    <row r="611" ht="15.75" customHeight="1">
      <c r="A611" s="85"/>
    </row>
    <row r="612" ht="15.75" customHeight="1">
      <c r="A612" s="1"/>
    </row>
    <row r="613" ht="15.75" customHeight="1">
      <c r="A613" s="5"/>
    </row>
  </sheetData>
  <sheetProtection password="DD5B" sheet="1" objects="1" scenarios="1"/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="130" zoomScaleSheetLayoutView="130" workbookViewId="0" topLeftCell="A51">
      <selection activeCell="F60" sqref="F60"/>
    </sheetView>
  </sheetViews>
  <sheetFormatPr defaultColWidth="9.140625" defaultRowHeight="15.75" customHeight="1"/>
  <cols>
    <col min="1" max="1" width="10.8515625" style="120" customWidth="1"/>
    <col min="2" max="2" width="9.140625" style="120" customWidth="1"/>
    <col min="3" max="3" width="9.57421875" style="120" bestFit="1" customWidth="1"/>
    <col min="4" max="4" width="9.28125" style="120" bestFit="1" customWidth="1"/>
    <col min="5" max="5" width="9.57421875" style="120" bestFit="1" customWidth="1"/>
    <col min="6" max="6" width="10.57421875" style="120" customWidth="1"/>
    <col min="7" max="7" width="9.421875" style="120" bestFit="1" customWidth="1"/>
    <col min="8" max="8" width="9.140625" style="120" customWidth="1"/>
    <col min="9" max="9" width="9.28125" style="120" bestFit="1" customWidth="1"/>
    <col min="10" max="16384" width="9.140625" style="120" customWidth="1"/>
  </cols>
  <sheetData>
    <row r="1" ht="15.75" customHeight="1">
      <c r="A1" s="85" t="s">
        <v>2067</v>
      </c>
    </row>
    <row r="2" ht="6" customHeight="1">
      <c r="A2" s="1"/>
    </row>
    <row r="3" spans="1:2" ht="15.75" customHeight="1">
      <c r="A3" s="5" t="s">
        <v>112</v>
      </c>
      <c r="B3" s="28"/>
    </row>
    <row r="4" ht="6" customHeight="1"/>
    <row r="5" spans="1:9" ht="15.75" customHeight="1">
      <c r="A5" s="68" t="s">
        <v>2068</v>
      </c>
      <c r="B5" s="106">
        <v>45</v>
      </c>
      <c r="C5" s="69" t="s">
        <v>699</v>
      </c>
      <c r="D5" s="68" t="s">
        <v>2297</v>
      </c>
      <c r="E5" s="106">
        <v>0.25</v>
      </c>
      <c r="F5" s="69" t="s">
        <v>699</v>
      </c>
      <c r="G5" s="107" t="s">
        <v>1017</v>
      </c>
      <c r="H5" s="68">
        <v>7845</v>
      </c>
      <c r="I5" s="28" t="s">
        <v>713</v>
      </c>
    </row>
    <row r="6" spans="1:9" ht="15.75" customHeight="1">
      <c r="A6" s="68" t="s">
        <v>2069</v>
      </c>
      <c r="B6" s="106">
        <v>15</v>
      </c>
      <c r="C6" s="69" t="s">
        <v>699</v>
      </c>
      <c r="D6" s="107" t="s">
        <v>2514</v>
      </c>
      <c r="E6" s="166">
        <f>0.25*0.001</f>
        <v>0.00025</v>
      </c>
      <c r="F6" s="69" t="s">
        <v>699</v>
      </c>
      <c r="G6" s="107" t="s">
        <v>709</v>
      </c>
      <c r="H6" s="166">
        <v>2.3E-06</v>
      </c>
      <c r="I6" s="28" t="s">
        <v>893</v>
      </c>
    </row>
    <row r="7" spans="1:8" ht="15.75" customHeight="1">
      <c r="A7" s="68" t="s">
        <v>2070</v>
      </c>
      <c r="B7" s="124">
        <v>300000</v>
      </c>
      <c r="C7" s="69" t="s">
        <v>700</v>
      </c>
      <c r="D7" s="68" t="s">
        <v>711</v>
      </c>
      <c r="E7" s="106">
        <v>150</v>
      </c>
      <c r="F7" s="69" t="s">
        <v>699</v>
      </c>
      <c r="G7" s="16" t="s">
        <v>714</v>
      </c>
      <c r="H7" s="12">
        <v>1</v>
      </c>
    </row>
    <row r="8" spans="1:6" ht="15.75" customHeight="1">
      <c r="A8" s="68" t="s">
        <v>2071</v>
      </c>
      <c r="B8" s="124">
        <v>500000</v>
      </c>
      <c r="C8" s="69" t="s">
        <v>700</v>
      </c>
      <c r="D8" s="68" t="s">
        <v>1017</v>
      </c>
      <c r="E8" s="68">
        <v>9.806</v>
      </c>
      <c r="F8" s="4" t="s">
        <v>1018</v>
      </c>
    </row>
    <row r="9" spans="1:4" ht="15.75" customHeight="1">
      <c r="A9" s="69" t="s">
        <v>2072</v>
      </c>
      <c r="D9" s="156"/>
    </row>
    <row r="10" ht="6" customHeight="1">
      <c r="D10" s="156"/>
    </row>
    <row r="11" spans="1:6" ht="15.75" customHeight="1">
      <c r="A11" s="76" t="s">
        <v>2073</v>
      </c>
      <c r="B11" s="156"/>
      <c r="C11" s="156"/>
      <c r="D11" s="156"/>
      <c r="E11" s="156"/>
      <c r="F11" s="156"/>
    </row>
    <row r="12" spans="1:6" ht="6" customHeight="1">
      <c r="A12" s="156"/>
      <c r="B12" s="156"/>
      <c r="C12" s="156"/>
      <c r="D12" s="156"/>
      <c r="E12" s="156"/>
      <c r="F12" s="156"/>
    </row>
    <row r="13" spans="1:6" ht="15.75" customHeight="1">
      <c r="A13" s="5" t="s">
        <v>113</v>
      </c>
      <c r="B13" s="156"/>
      <c r="C13" s="156"/>
      <c r="D13" s="156"/>
      <c r="E13" s="156"/>
      <c r="F13" s="156"/>
    </row>
    <row r="14" spans="1:6" ht="6" customHeight="1">
      <c r="A14" s="156"/>
      <c r="B14" s="156"/>
      <c r="C14" s="156"/>
      <c r="D14" s="156"/>
      <c r="E14" s="156"/>
      <c r="F14" s="156"/>
    </row>
    <row r="15" spans="1:6" ht="15.75" customHeight="1">
      <c r="A15" s="65" t="s">
        <v>2074</v>
      </c>
      <c r="B15" s="156"/>
      <c r="C15" s="156"/>
      <c r="D15" s="156"/>
      <c r="E15" s="156"/>
      <c r="F15" s="156"/>
    </row>
    <row r="16" spans="1:6" ht="6" customHeight="1">
      <c r="A16" s="65"/>
      <c r="B16" s="156"/>
      <c r="C16" s="156"/>
      <c r="D16" s="156"/>
      <c r="E16" s="156"/>
      <c r="F16" s="156"/>
    </row>
    <row r="17" spans="1:6" ht="15.75" customHeight="1">
      <c r="A17" s="156"/>
      <c r="B17" s="156"/>
      <c r="C17" s="117" t="s">
        <v>2075</v>
      </c>
      <c r="D17" s="156"/>
      <c r="E17" s="156"/>
      <c r="F17" s="156"/>
    </row>
    <row r="18" spans="1:6" ht="6" customHeight="1">
      <c r="A18" s="156"/>
      <c r="B18" s="117"/>
      <c r="C18" s="156"/>
      <c r="D18" s="156"/>
      <c r="E18" s="156"/>
      <c r="F18" s="117"/>
    </row>
    <row r="19" spans="1:6" ht="15.75" customHeight="1">
      <c r="A19" s="156"/>
      <c r="B19" s="117" t="s">
        <v>2076</v>
      </c>
      <c r="C19" s="156"/>
      <c r="D19" s="12" t="s">
        <v>1915</v>
      </c>
      <c r="E19" s="117" t="s">
        <v>303</v>
      </c>
      <c r="F19" s="117"/>
    </row>
    <row r="20" spans="1:6" ht="6" customHeight="1">
      <c r="A20" s="156"/>
      <c r="B20" s="156"/>
      <c r="C20" s="156"/>
      <c r="D20" s="156"/>
      <c r="E20" s="156"/>
      <c r="F20" s="156"/>
    </row>
    <row r="21" spans="1:6" ht="15.75" customHeight="1">
      <c r="A21" s="14" t="s">
        <v>2077</v>
      </c>
      <c r="B21" s="156"/>
      <c r="C21" s="156"/>
      <c r="D21" s="156"/>
      <c r="E21" s="156"/>
      <c r="F21" s="156"/>
    </row>
    <row r="22" spans="1:6" ht="6" customHeight="1">
      <c r="A22" s="156"/>
      <c r="B22" s="156"/>
      <c r="C22" s="156"/>
      <c r="D22" s="156"/>
      <c r="E22" s="156"/>
      <c r="F22" s="156"/>
    </row>
    <row r="23" spans="1:6" ht="15.75" customHeight="1">
      <c r="A23" s="68" t="s">
        <v>2078</v>
      </c>
      <c r="B23" s="106">
        <f>+B7/H5</f>
        <v>38.24091778202677</v>
      </c>
      <c r="C23" s="69" t="s">
        <v>699</v>
      </c>
      <c r="D23" s="156"/>
      <c r="E23" s="68" t="s">
        <v>2079</v>
      </c>
      <c r="F23" s="106">
        <f>+B8/H5</f>
        <v>63.73486297004462</v>
      </c>
    </row>
    <row r="24" spans="1:6" ht="6" customHeight="1">
      <c r="A24" s="156"/>
      <c r="B24" s="156"/>
      <c r="C24" s="156"/>
      <c r="D24" s="156"/>
      <c r="E24" s="156"/>
      <c r="F24" s="156"/>
    </row>
    <row r="25" spans="1:8" ht="15.75" customHeight="1">
      <c r="A25" s="14" t="s">
        <v>1701</v>
      </c>
      <c r="B25" s="156"/>
      <c r="D25" s="69" t="s">
        <v>1702</v>
      </c>
      <c r="G25" s="106">
        <f>+((B5+B23)-(B6+F23))/E7</f>
        <v>0.030040365413214355</v>
      </c>
      <c r="H25" s="69" t="s">
        <v>699</v>
      </c>
    </row>
    <row r="26" spans="1:6" ht="6" customHeight="1">
      <c r="A26" s="156"/>
      <c r="B26" s="205"/>
      <c r="C26" s="156"/>
      <c r="D26" s="156"/>
      <c r="E26" s="156"/>
      <c r="F26" s="205"/>
    </row>
    <row r="27" spans="1:6" ht="15.75" customHeight="1">
      <c r="A27" s="14" t="s">
        <v>1703</v>
      </c>
      <c r="B27" s="156"/>
      <c r="C27" s="156"/>
      <c r="D27" s="69" t="s">
        <v>1704</v>
      </c>
      <c r="E27" s="156"/>
      <c r="F27" s="156"/>
    </row>
    <row r="28" spans="1:6" ht="15.75" customHeight="1">
      <c r="A28" s="84" t="s">
        <v>1705</v>
      </c>
      <c r="B28" s="205"/>
      <c r="C28" s="156"/>
      <c r="D28" s="156"/>
      <c r="E28" s="156"/>
      <c r="F28" s="205"/>
    </row>
    <row r="29" spans="1:6" ht="15.75" customHeight="1">
      <c r="A29" s="156"/>
      <c r="B29" s="205"/>
      <c r="C29" s="156"/>
      <c r="D29" s="156"/>
      <c r="E29" s="156"/>
      <c r="F29" s="205"/>
    </row>
    <row r="30" spans="1:6" ht="15.75" customHeight="1">
      <c r="A30" s="179" t="s">
        <v>1706</v>
      </c>
      <c r="C30" s="156"/>
      <c r="D30" s="156"/>
      <c r="E30" s="206">
        <f>+(E5/H6)*SQRT(2*E8*E5*G25)</f>
        <v>41715.33396905378</v>
      </c>
      <c r="F30" s="14" t="s">
        <v>1707</v>
      </c>
    </row>
    <row r="31" spans="1:6" ht="6" customHeight="1">
      <c r="A31" s="167"/>
      <c r="B31" s="141"/>
      <c r="C31" s="156"/>
      <c r="D31" s="156"/>
      <c r="E31" s="167"/>
      <c r="F31" s="205"/>
    </row>
    <row r="32" spans="1:6" ht="15.75" customHeight="1">
      <c r="A32" s="14" t="s">
        <v>1708</v>
      </c>
      <c r="B32" s="207"/>
      <c r="C32" s="207"/>
      <c r="D32" s="207"/>
      <c r="E32" s="208"/>
      <c r="F32" s="207"/>
    </row>
    <row r="33" spans="1:6" ht="6" customHeight="1">
      <c r="A33" s="169"/>
      <c r="B33" s="168"/>
      <c r="C33" s="169"/>
      <c r="D33" s="169"/>
      <c r="E33" s="156"/>
      <c r="F33" s="141"/>
    </row>
    <row r="34" spans="1:6" ht="15.75" customHeight="1">
      <c r="A34" s="14" t="s">
        <v>1709</v>
      </c>
      <c r="B34" s="107" t="s">
        <v>1710</v>
      </c>
      <c r="C34" s="68">
        <f>+E6/E5</f>
        <v>0.001</v>
      </c>
      <c r="D34" s="169"/>
      <c r="E34" s="156"/>
      <c r="F34" s="141"/>
    </row>
    <row r="35" spans="1:6" ht="6" customHeight="1">
      <c r="A35" s="169"/>
      <c r="B35" s="168"/>
      <c r="C35" s="169"/>
      <c r="D35" s="169"/>
      <c r="E35" s="156"/>
      <c r="F35" s="141"/>
    </row>
    <row r="36" spans="1:7" ht="15.75" customHeight="1">
      <c r="A36" s="14" t="s">
        <v>1711</v>
      </c>
      <c r="B36" s="174" t="s">
        <v>1712</v>
      </c>
      <c r="C36" s="156"/>
      <c r="D36" s="169"/>
      <c r="G36" s="139">
        <f>+(-2*LOG10(2.51/E30+C34/3.71))^-2</f>
        <v>0.020621294561074335</v>
      </c>
    </row>
    <row r="37" spans="1:6" ht="6" customHeight="1">
      <c r="A37" s="156"/>
      <c r="B37" s="141"/>
      <c r="C37" s="170"/>
      <c r="D37" s="156"/>
      <c r="E37" s="156"/>
      <c r="F37" s="141"/>
    </row>
    <row r="38" spans="1:6" ht="15.75" customHeight="1">
      <c r="A38" s="14" t="s">
        <v>1713</v>
      </c>
      <c r="B38" s="156"/>
      <c r="C38" s="156"/>
      <c r="D38" s="156"/>
      <c r="E38" s="156"/>
      <c r="F38" s="156"/>
    </row>
    <row r="39" spans="1:6" ht="6" customHeight="1">
      <c r="A39" s="167"/>
      <c r="B39" s="209"/>
      <c r="C39" s="156"/>
      <c r="D39" s="156"/>
      <c r="E39" s="167"/>
      <c r="F39" s="209"/>
    </row>
    <row r="40" spans="1:6" ht="15.75" customHeight="1">
      <c r="A40" s="156"/>
      <c r="B40" s="154" t="s">
        <v>1714</v>
      </c>
      <c r="C40" s="210"/>
      <c r="D40" s="171"/>
      <c r="E40" s="153">
        <f>+(PI()*E5^2/4)*SQRT(2*E8*E5*G25/G36)</f>
        <v>0.13118841589260463</v>
      </c>
      <c r="F40" s="161" t="s">
        <v>2374</v>
      </c>
    </row>
    <row r="41" spans="1:6" s="28" customFormat="1" ht="6.75" customHeight="1">
      <c r="A41" s="156"/>
      <c r="B41" s="66"/>
      <c r="C41" s="170"/>
      <c r="D41" s="156"/>
      <c r="E41" s="106"/>
      <c r="F41" s="69"/>
    </row>
    <row r="42" spans="1:6" s="28" customFormat="1" ht="15.75" customHeight="1">
      <c r="A42" s="14" t="s">
        <v>328</v>
      </c>
      <c r="B42" s="66"/>
      <c r="C42" s="170"/>
      <c r="D42" s="156"/>
      <c r="E42" s="106"/>
      <c r="F42" s="69"/>
    </row>
    <row r="43" spans="1:6" s="28" customFormat="1" ht="6.75" customHeight="1">
      <c r="A43" s="156"/>
      <c r="B43" s="66"/>
      <c r="C43" s="170"/>
      <c r="D43" s="156"/>
      <c r="E43" s="106"/>
      <c r="F43" s="69"/>
    </row>
    <row r="44" spans="1:6" s="28" customFormat="1" ht="15.75" customHeight="1">
      <c r="A44" s="156"/>
      <c r="B44" s="117" t="s">
        <v>329</v>
      </c>
      <c r="C44" s="170"/>
      <c r="D44" s="156"/>
      <c r="E44" s="106"/>
      <c r="F44" s="69"/>
    </row>
    <row r="45" spans="1:6" s="28" customFormat="1" ht="6.75" customHeight="1">
      <c r="A45" s="156"/>
      <c r="B45" s="66"/>
      <c r="C45" s="170"/>
      <c r="D45" s="156"/>
      <c r="E45" s="106"/>
      <c r="F45" s="69"/>
    </row>
    <row r="46" spans="1:6" s="28" customFormat="1" ht="15.75" customHeight="1">
      <c r="A46" s="14" t="s">
        <v>326</v>
      </c>
      <c r="B46" s="66"/>
      <c r="C46" s="170"/>
      <c r="D46" s="156"/>
      <c r="E46" s="106"/>
      <c r="F46" s="69"/>
    </row>
    <row r="47" spans="1:6" s="28" customFormat="1" ht="6.75" customHeight="1">
      <c r="A47" s="156"/>
      <c r="B47" s="66"/>
      <c r="C47" s="170"/>
      <c r="D47" s="156"/>
      <c r="E47" s="106"/>
      <c r="F47" s="69"/>
    </row>
    <row r="48" spans="1:6" s="28" customFormat="1" ht="15.75" customHeight="1">
      <c r="A48" s="156"/>
      <c r="B48" s="66" t="s">
        <v>330</v>
      </c>
      <c r="C48" s="170"/>
      <c r="D48" s="156"/>
      <c r="E48" s="106"/>
      <c r="F48" s="69"/>
    </row>
    <row r="49" spans="1:6" s="28" customFormat="1" ht="6.75" customHeight="1">
      <c r="A49" s="156"/>
      <c r="B49" s="66"/>
      <c r="C49" s="170"/>
      <c r="D49" s="156"/>
      <c r="E49" s="106"/>
      <c r="F49" s="69"/>
    </row>
    <row r="50" spans="1:8" s="28" customFormat="1" ht="15.75" customHeight="1">
      <c r="A50" s="14" t="s">
        <v>324</v>
      </c>
      <c r="B50" s="66"/>
      <c r="C50" s="170"/>
      <c r="D50" s="156"/>
      <c r="E50" s="120"/>
      <c r="F50" s="159" t="s">
        <v>2373</v>
      </c>
      <c r="G50" s="153">
        <v>0.13547843688868533</v>
      </c>
      <c r="H50" s="161" t="s">
        <v>2374</v>
      </c>
    </row>
    <row r="51" spans="1:4" s="28" customFormat="1" ht="6.75" customHeight="1">
      <c r="A51" s="156"/>
      <c r="B51" s="66"/>
      <c r="C51" s="170"/>
      <c r="D51" s="156"/>
    </row>
    <row r="52" spans="1:7" s="28" customFormat="1" ht="15.75" customHeight="1">
      <c r="A52" s="156"/>
      <c r="B52" s="66"/>
      <c r="C52" s="170"/>
      <c r="D52" s="156"/>
      <c r="E52" s="106"/>
      <c r="F52" s="125" t="s">
        <v>325</v>
      </c>
      <c r="G52" s="138">
        <f>+G50^2+8*G50/(4*E6/(PI()*(E5^2)*H6))-2*E8*E5*((PI()*(E5^2)/4)^2)*G25/((0.25)*((LOG10(3.71*E5/E6))^(-2)))</f>
        <v>0.0007575154699778971</v>
      </c>
    </row>
    <row r="53" spans="1:7" s="28" customFormat="1" ht="6.75" customHeight="1">
      <c r="A53" s="156"/>
      <c r="B53" s="66"/>
      <c r="C53" s="170"/>
      <c r="D53" s="156"/>
      <c r="E53" s="106"/>
      <c r="F53" s="125"/>
      <c r="G53" s="138"/>
    </row>
    <row r="54" spans="1:7" s="28" customFormat="1" ht="15.75" customHeight="1">
      <c r="A54" s="14" t="s">
        <v>327</v>
      </c>
      <c r="B54" s="66"/>
      <c r="C54" s="170"/>
      <c r="D54" s="156"/>
      <c r="E54" s="106"/>
      <c r="F54" s="69"/>
      <c r="G54" s="352">
        <f>+ABS(G50-E40)/E40</f>
        <v>0.03270121806785635</v>
      </c>
    </row>
    <row r="55" ht="6" customHeight="1"/>
    <row r="56" spans="1:9" ht="6" customHeight="1">
      <c r="A56" s="131"/>
      <c r="B56" s="131"/>
      <c r="C56" s="131"/>
      <c r="D56" s="131"/>
      <c r="E56" s="131"/>
      <c r="F56" s="131"/>
      <c r="G56" s="131"/>
      <c r="H56" s="131"/>
      <c r="I56" s="131"/>
    </row>
    <row r="57" ht="6" customHeight="1"/>
    <row r="58" ht="15.75" customHeight="1">
      <c r="A58" s="85" t="s">
        <v>1715</v>
      </c>
    </row>
    <row r="59" ht="6" customHeight="1">
      <c r="A59" s="1"/>
    </row>
    <row r="60" ht="15.75" customHeight="1">
      <c r="A60" s="5" t="s">
        <v>112</v>
      </c>
    </row>
    <row r="61" ht="6" customHeight="1"/>
    <row r="62" spans="1:9" ht="15.75" customHeight="1">
      <c r="A62" s="68" t="s">
        <v>2297</v>
      </c>
      <c r="B62" s="106">
        <v>0.25</v>
      </c>
      <c r="C62" s="69" t="s">
        <v>699</v>
      </c>
      <c r="D62" s="107" t="s">
        <v>702</v>
      </c>
      <c r="E62" s="106">
        <v>0.2816351569906865</v>
      </c>
      <c r="F62" s="69" t="s">
        <v>699</v>
      </c>
      <c r="G62" s="68" t="s">
        <v>1017</v>
      </c>
      <c r="H62" s="68">
        <v>9.806</v>
      </c>
      <c r="I62" s="28" t="s">
        <v>1018</v>
      </c>
    </row>
    <row r="63" spans="1:9" ht="15.75" customHeight="1">
      <c r="A63" s="107" t="s">
        <v>2514</v>
      </c>
      <c r="B63" s="166">
        <f>0.25*0.001</f>
        <v>0.00025</v>
      </c>
      <c r="C63" s="69" t="s">
        <v>699</v>
      </c>
      <c r="D63" s="107" t="s">
        <v>1017</v>
      </c>
      <c r="E63" s="68">
        <v>7845</v>
      </c>
      <c r="F63" s="28" t="s">
        <v>713</v>
      </c>
      <c r="G63" s="107" t="s">
        <v>1716</v>
      </c>
      <c r="H63" s="68">
        <v>133362</v>
      </c>
      <c r="I63" s="28" t="s">
        <v>713</v>
      </c>
    </row>
    <row r="64" spans="1:9" ht="15.75" customHeight="1">
      <c r="A64" s="68" t="s">
        <v>711</v>
      </c>
      <c r="B64" s="106">
        <v>150</v>
      </c>
      <c r="C64" s="69" t="s">
        <v>699</v>
      </c>
      <c r="D64" s="107" t="s">
        <v>709</v>
      </c>
      <c r="E64" s="166">
        <v>2.3E-06</v>
      </c>
      <c r="F64" s="28" t="s">
        <v>893</v>
      </c>
      <c r="G64" s="16" t="s">
        <v>714</v>
      </c>
      <c r="H64" s="12">
        <v>1</v>
      </c>
      <c r="I64" s="28"/>
    </row>
    <row r="65" spans="7:8" ht="6" customHeight="1">
      <c r="G65" s="156"/>
      <c r="H65" s="156"/>
    </row>
    <row r="66" spans="1:8" ht="15.75" customHeight="1">
      <c r="A66" s="76" t="s">
        <v>2073</v>
      </c>
      <c r="B66" s="106"/>
      <c r="C66" s="69"/>
      <c r="G66" s="156"/>
      <c r="H66" s="156"/>
    </row>
    <row r="67" spans="1:8" ht="6" customHeight="1">
      <c r="A67" s="156"/>
      <c r="B67" s="156"/>
      <c r="C67" s="156"/>
      <c r="D67" s="156"/>
      <c r="E67" s="156"/>
      <c r="F67" s="156"/>
      <c r="G67" s="156"/>
      <c r="H67" s="167"/>
    </row>
    <row r="68" spans="1:8" ht="15.75" customHeight="1">
      <c r="A68" s="5" t="s">
        <v>113</v>
      </c>
      <c r="B68" s="156"/>
      <c r="C68" s="156"/>
      <c r="D68" s="156"/>
      <c r="E68" s="156"/>
      <c r="F68" s="156"/>
      <c r="G68" s="156"/>
      <c r="H68" s="167"/>
    </row>
    <row r="69" spans="1:8" ht="6" customHeight="1">
      <c r="A69" s="211"/>
      <c r="B69" s="156"/>
      <c r="C69" s="156"/>
      <c r="D69" s="156"/>
      <c r="E69" s="156"/>
      <c r="F69" s="156"/>
      <c r="G69" s="156"/>
      <c r="H69" s="167"/>
    </row>
    <row r="70" spans="1:8" ht="15.75" customHeight="1">
      <c r="A70" s="65" t="s">
        <v>1717</v>
      </c>
      <c r="B70" s="156"/>
      <c r="C70" s="156"/>
      <c r="D70" s="156"/>
      <c r="E70" s="156"/>
      <c r="F70" s="156"/>
      <c r="G70" s="156"/>
      <c r="H70" s="167"/>
    </row>
    <row r="71" spans="1:8" ht="6" customHeight="1">
      <c r="A71" s="156"/>
      <c r="B71" s="156"/>
      <c r="C71" s="156"/>
      <c r="D71" s="156"/>
      <c r="E71" s="156"/>
      <c r="F71" s="156"/>
      <c r="G71" s="156"/>
      <c r="H71" s="167"/>
    </row>
    <row r="72" spans="1:8" ht="15.75" customHeight="1">
      <c r="A72" s="156"/>
      <c r="B72" s="156"/>
      <c r="C72" s="117" t="s">
        <v>2075</v>
      </c>
      <c r="D72" s="156"/>
      <c r="E72" s="156"/>
      <c r="F72" s="156"/>
      <c r="G72" s="156"/>
      <c r="H72" s="156"/>
    </row>
    <row r="73" spans="1:8" ht="6" customHeight="1">
      <c r="A73" s="156"/>
      <c r="B73" s="117"/>
      <c r="C73" s="156"/>
      <c r="D73" s="156"/>
      <c r="E73" s="156"/>
      <c r="F73" s="117"/>
      <c r="G73" s="156"/>
      <c r="H73" s="156"/>
    </row>
    <row r="74" spans="1:8" ht="15.75" customHeight="1">
      <c r="A74" s="156"/>
      <c r="B74" s="117" t="s">
        <v>2076</v>
      </c>
      <c r="C74" s="156"/>
      <c r="D74" s="29" t="s">
        <v>1915</v>
      </c>
      <c r="E74" s="117" t="s">
        <v>303</v>
      </c>
      <c r="F74" s="117"/>
      <c r="G74" s="156"/>
      <c r="H74" s="156"/>
    </row>
    <row r="75" spans="1:8" ht="6" customHeight="1">
      <c r="A75" s="156"/>
      <c r="B75" s="156"/>
      <c r="C75" s="156"/>
      <c r="D75" s="156"/>
      <c r="E75" s="156"/>
      <c r="F75" s="156"/>
      <c r="G75" s="156"/>
      <c r="H75" s="156"/>
    </row>
    <row r="76" spans="1:8" ht="15.75" customHeight="1">
      <c r="A76" s="14" t="s">
        <v>1718</v>
      </c>
      <c r="B76" s="156"/>
      <c r="C76" s="156"/>
      <c r="D76" s="156"/>
      <c r="E76" s="156"/>
      <c r="F76" s="156"/>
      <c r="G76" s="156"/>
      <c r="H76" s="156"/>
    </row>
    <row r="77" spans="1:8" ht="15.75" customHeight="1">
      <c r="A77" s="14" t="s">
        <v>1719</v>
      </c>
      <c r="B77" s="156"/>
      <c r="C77" s="156"/>
      <c r="D77" s="156"/>
      <c r="E77" s="156"/>
      <c r="F77" s="156"/>
      <c r="G77" s="156"/>
      <c r="H77" s="156"/>
    </row>
    <row r="78" spans="1:8" ht="6" customHeight="1">
      <c r="A78" s="84"/>
      <c r="B78" s="156"/>
      <c r="C78" s="156"/>
      <c r="D78" s="156"/>
      <c r="E78" s="156"/>
      <c r="F78" s="156"/>
      <c r="G78" s="156"/>
      <c r="H78" s="156"/>
    </row>
    <row r="79" spans="1:8" ht="15.75" customHeight="1">
      <c r="A79" s="14" t="s">
        <v>1720</v>
      </c>
      <c r="B79" s="156"/>
      <c r="C79" s="156"/>
      <c r="D79" s="156"/>
      <c r="E79" s="156"/>
      <c r="F79" s="156"/>
      <c r="G79" s="156"/>
      <c r="H79" s="156"/>
    </row>
    <row r="80" spans="1:8" ht="6" customHeight="1">
      <c r="A80" s="84"/>
      <c r="B80" s="156"/>
      <c r="C80" s="69"/>
      <c r="D80" s="156"/>
      <c r="E80" s="156"/>
      <c r="F80" s="106"/>
      <c r="G80" s="69"/>
      <c r="H80" s="156"/>
    </row>
    <row r="81" spans="1:8" ht="15.75" customHeight="1">
      <c r="A81" s="84"/>
      <c r="B81" s="69" t="s">
        <v>1721</v>
      </c>
      <c r="C81" s="156"/>
      <c r="D81" s="156"/>
      <c r="F81" s="106">
        <f>E62*(H63-E63)/(E63*B64)</f>
        <v>0.030040365413214355</v>
      </c>
      <c r="G81" s="69" t="s">
        <v>699</v>
      </c>
      <c r="H81" s="156"/>
    </row>
    <row r="82" spans="1:8" ht="6" customHeight="1">
      <c r="A82" s="156"/>
      <c r="B82" s="205"/>
      <c r="C82" s="156"/>
      <c r="D82" s="156"/>
      <c r="E82" s="156"/>
      <c r="F82" s="205"/>
      <c r="G82" s="156"/>
      <c r="H82" s="156"/>
    </row>
    <row r="83" spans="1:8" ht="15.75" customHeight="1">
      <c r="A83" s="14" t="s">
        <v>1722</v>
      </c>
      <c r="B83" s="156"/>
      <c r="C83" s="69"/>
      <c r="D83" s="156"/>
      <c r="E83" s="156"/>
      <c r="F83" s="106"/>
      <c r="G83" s="69"/>
      <c r="H83" s="156"/>
    </row>
    <row r="84" spans="1:8" ht="15.75" customHeight="1">
      <c r="A84" s="212" t="s">
        <v>1723</v>
      </c>
      <c r="B84" s="156"/>
      <c r="C84" s="69"/>
      <c r="D84" s="156"/>
      <c r="E84" s="156"/>
      <c r="F84" s="106"/>
      <c r="G84" s="69"/>
      <c r="H84" s="156"/>
    </row>
    <row r="85" spans="1:8" ht="6" customHeight="1">
      <c r="A85" s="156"/>
      <c r="B85" s="205"/>
      <c r="C85" s="156"/>
      <c r="D85" s="156"/>
      <c r="E85" s="156"/>
      <c r="F85" s="205"/>
      <c r="G85" s="156"/>
      <c r="H85" s="156"/>
    </row>
    <row r="86" spans="1:8" ht="15.75" customHeight="1">
      <c r="A86" s="14" t="s">
        <v>1703</v>
      </c>
      <c r="B86" s="156"/>
      <c r="C86" s="156"/>
      <c r="D86" s="69" t="s">
        <v>1704</v>
      </c>
      <c r="E86" s="156"/>
      <c r="F86" s="156"/>
      <c r="G86" s="156"/>
      <c r="H86" s="156"/>
    </row>
    <row r="87" spans="1:8" ht="6" customHeight="1">
      <c r="A87" s="156"/>
      <c r="B87" s="205"/>
      <c r="C87" s="156"/>
      <c r="D87" s="156"/>
      <c r="E87" s="156"/>
      <c r="F87" s="205"/>
      <c r="G87" s="156"/>
      <c r="H87" s="156"/>
    </row>
    <row r="88" spans="1:8" ht="15.75" customHeight="1">
      <c r="A88" s="84" t="s">
        <v>1724</v>
      </c>
      <c r="B88" s="205"/>
      <c r="C88" s="156"/>
      <c r="D88" s="156"/>
      <c r="E88" s="156"/>
      <c r="F88" s="205"/>
      <c r="G88" s="156"/>
      <c r="H88" s="156"/>
    </row>
    <row r="89" spans="1:8" ht="6" customHeight="1">
      <c r="A89" s="156"/>
      <c r="B89" s="205"/>
      <c r="C89" s="156"/>
      <c r="D89" s="156"/>
      <c r="E89" s="156"/>
      <c r="F89" s="205"/>
      <c r="G89" s="156"/>
      <c r="H89" s="156"/>
    </row>
    <row r="90" spans="1:8" ht="15.75" customHeight="1">
      <c r="A90" s="179" t="s">
        <v>1706</v>
      </c>
      <c r="B90" s="179"/>
      <c r="C90" s="156"/>
      <c r="D90" s="156"/>
      <c r="E90" s="206">
        <f>+(B62/E64)*SQRT(2*H62*B62*F81)</f>
        <v>41715.33396905378</v>
      </c>
      <c r="F90" s="14" t="s">
        <v>1707</v>
      </c>
      <c r="G90" s="156"/>
      <c r="H90" s="156"/>
    </row>
    <row r="91" spans="1:8" ht="6" customHeight="1">
      <c r="A91" s="167"/>
      <c r="B91" s="141"/>
      <c r="C91" s="156"/>
      <c r="D91" s="156"/>
      <c r="E91" s="167"/>
      <c r="F91" s="205"/>
      <c r="G91" s="156"/>
      <c r="H91" s="156"/>
    </row>
    <row r="92" spans="1:8" ht="15.75" customHeight="1">
      <c r="A92" s="14" t="s">
        <v>1708</v>
      </c>
      <c r="B92" s="156"/>
      <c r="C92" s="156"/>
      <c r="D92" s="156"/>
      <c r="E92" s="167"/>
      <c r="F92" s="141"/>
      <c r="G92" s="156"/>
      <c r="H92" s="156"/>
    </row>
    <row r="93" spans="1:8" ht="6" customHeight="1">
      <c r="A93" s="169"/>
      <c r="B93" s="168"/>
      <c r="C93" s="169"/>
      <c r="D93" s="169"/>
      <c r="E93" s="156"/>
      <c r="F93" s="141"/>
      <c r="G93" s="156"/>
      <c r="H93" s="164"/>
    </row>
    <row r="94" spans="1:8" ht="15.75" customHeight="1">
      <c r="A94" s="14" t="s">
        <v>1709</v>
      </c>
      <c r="B94" s="107" t="s">
        <v>1710</v>
      </c>
      <c r="C94" s="68">
        <f>+B63/B62</f>
        <v>0.001</v>
      </c>
      <c r="D94" s="169"/>
      <c r="E94" s="156"/>
      <c r="F94" s="141"/>
      <c r="G94" s="156"/>
      <c r="H94" s="164"/>
    </row>
    <row r="95" spans="1:8" ht="6" customHeight="1">
      <c r="A95" s="169"/>
      <c r="B95" s="168"/>
      <c r="C95" s="169"/>
      <c r="D95" s="169"/>
      <c r="E95" s="156"/>
      <c r="F95" s="141"/>
      <c r="G95" s="156"/>
      <c r="H95" s="164"/>
    </row>
    <row r="96" spans="1:8" ht="15.75" customHeight="1">
      <c r="A96" s="14" t="s">
        <v>1711</v>
      </c>
      <c r="B96" s="174" t="s">
        <v>1712</v>
      </c>
      <c r="C96" s="156"/>
      <c r="D96" s="169"/>
      <c r="G96" s="139">
        <f>+(-2*LOG10(2.51/E90+C94/3.71))^-2</f>
        <v>0.020621294561074335</v>
      </c>
      <c r="H96" s="156"/>
    </row>
    <row r="97" spans="1:8" ht="6" customHeight="1">
      <c r="A97" s="156"/>
      <c r="B97" s="141"/>
      <c r="C97" s="170"/>
      <c r="D97" s="156"/>
      <c r="E97" s="156"/>
      <c r="F97" s="141"/>
      <c r="G97" s="156"/>
      <c r="H97" s="156"/>
    </row>
    <row r="98" spans="1:8" ht="15.75" customHeight="1">
      <c r="A98" s="14" t="s">
        <v>1713</v>
      </c>
      <c r="B98" s="156"/>
      <c r="C98" s="156"/>
      <c r="D98" s="156"/>
      <c r="E98" s="156"/>
      <c r="F98" s="156"/>
      <c r="G98" s="156"/>
      <c r="H98" s="156"/>
    </row>
    <row r="99" spans="1:8" ht="6" customHeight="1">
      <c r="A99" s="167"/>
      <c r="B99" s="209"/>
      <c r="C99" s="156"/>
      <c r="D99" s="156"/>
      <c r="E99" s="167"/>
      <c r="F99" s="209"/>
      <c r="G99" s="156"/>
      <c r="H99" s="156"/>
    </row>
    <row r="100" spans="1:8" ht="15.75" customHeight="1">
      <c r="A100" s="156"/>
      <c r="B100" s="154" t="s">
        <v>1714</v>
      </c>
      <c r="C100" s="210"/>
      <c r="D100" s="171"/>
      <c r="E100" s="153">
        <f>+(PI()*B62^2/4)*SQRT(2*H62*B62*F81/G96)</f>
        <v>0.13118841589260463</v>
      </c>
      <c r="F100" s="161" t="s">
        <v>2374</v>
      </c>
      <c r="G100" s="156"/>
      <c r="H100" s="156"/>
    </row>
    <row r="101" spans="1:8" ht="6.75" customHeight="1">
      <c r="A101" s="156"/>
      <c r="B101" s="66"/>
      <c r="C101" s="170"/>
      <c r="D101" s="156"/>
      <c r="E101" s="106"/>
      <c r="F101" s="69"/>
      <c r="G101" s="156"/>
      <c r="H101" s="156"/>
    </row>
    <row r="102" spans="1:9" ht="15.75" customHeight="1">
      <c r="A102" s="14" t="s">
        <v>328</v>
      </c>
      <c r="B102" s="66"/>
      <c r="C102" s="170"/>
      <c r="D102" s="156"/>
      <c r="E102" s="106"/>
      <c r="F102" s="69"/>
      <c r="G102" s="28"/>
      <c r="H102" s="28"/>
      <c r="I102" s="28"/>
    </row>
    <row r="103" spans="1:9" ht="6.75" customHeight="1">
      <c r="A103" s="156"/>
      <c r="B103" s="66"/>
      <c r="C103" s="170"/>
      <c r="D103" s="156"/>
      <c r="E103" s="106"/>
      <c r="F103" s="69"/>
      <c r="G103" s="28"/>
      <c r="H103" s="28"/>
      <c r="I103" s="28"/>
    </row>
    <row r="104" spans="1:9" ht="15.75" customHeight="1">
      <c r="A104" s="156"/>
      <c r="B104" s="117" t="s">
        <v>329</v>
      </c>
      <c r="C104" s="170"/>
      <c r="D104" s="156"/>
      <c r="E104" s="106"/>
      <c r="F104" s="69"/>
      <c r="G104" s="28"/>
      <c r="H104" s="28"/>
      <c r="I104" s="28"/>
    </row>
    <row r="105" spans="1:9" ht="6.75" customHeight="1">
      <c r="A105" s="156"/>
      <c r="B105" s="66"/>
      <c r="C105" s="170"/>
      <c r="D105" s="156"/>
      <c r="E105" s="106"/>
      <c r="F105" s="69"/>
      <c r="G105" s="28"/>
      <c r="H105" s="28"/>
      <c r="I105" s="28"/>
    </row>
    <row r="106" spans="1:9" ht="15.75" customHeight="1">
      <c r="A106" s="14" t="s">
        <v>326</v>
      </c>
      <c r="B106" s="66"/>
      <c r="C106" s="170"/>
      <c r="D106" s="156"/>
      <c r="E106" s="106"/>
      <c r="F106" s="69"/>
      <c r="G106" s="28"/>
      <c r="H106" s="28"/>
      <c r="I106" s="28"/>
    </row>
    <row r="107" spans="1:9" ht="6.75" customHeight="1">
      <c r="A107" s="156"/>
      <c r="B107" s="66"/>
      <c r="C107" s="170"/>
      <c r="D107" s="156"/>
      <c r="E107" s="106"/>
      <c r="F107" s="69"/>
      <c r="G107" s="28"/>
      <c r="H107" s="28"/>
      <c r="I107" s="28"/>
    </row>
    <row r="108" spans="1:9" ht="15.75" customHeight="1">
      <c r="A108" s="156"/>
      <c r="B108" s="66" t="s">
        <v>330</v>
      </c>
      <c r="C108" s="170"/>
      <c r="D108" s="156"/>
      <c r="E108" s="106"/>
      <c r="F108" s="69"/>
      <c r="G108" s="28"/>
      <c r="H108" s="28"/>
      <c r="I108" s="28"/>
    </row>
    <row r="109" spans="1:9" ht="6.75" customHeight="1">
      <c r="A109" s="156"/>
      <c r="B109" s="66"/>
      <c r="C109" s="170"/>
      <c r="D109" s="156"/>
      <c r="E109" s="106"/>
      <c r="F109" s="69"/>
      <c r="G109" s="28"/>
      <c r="H109" s="28"/>
      <c r="I109" s="28"/>
    </row>
    <row r="110" spans="1:9" ht="15.75" customHeight="1">
      <c r="A110" s="14" t="s">
        <v>324</v>
      </c>
      <c r="B110" s="66"/>
      <c r="C110" s="170"/>
      <c r="D110" s="156"/>
      <c r="F110" s="159" t="s">
        <v>2373</v>
      </c>
      <c r="G110" s="153">
        <v>0.13612484473293635</v>
      </c>
      <c r="H110" s="161" t="s">
        <v>2374</v>
      </c>
      <c r="I110" s="28"/>
    </row>
    <row r="111" spans="1:9" ht="6.75" customHeight="1">
      <c r="A111" s="156"/>
      <c r="B111" s="66"/>
      <c r="C111" s="170"/>
      <c r="D111" s="156"/>
      <c r="E111" s="28"/>
      <c r="F111" s="28"/>
      <c r="G111" s="28"/>
      <c r="H111" s="28"/>
      <c r="I111" s="28"/>
    </row>
    <row r="112" spans="1:9" ht="15.75" customHeight="1">
      <c r="A112" s="156"/>
      <c r="B112" s="66"/>
      <c r="C112" s="170"/>
      <c r="D112" s="156"/>
      <c r="E112" s="106"/>
      <c r="F112" s="125" t="s">
        <v>325</v>
      </c>
      <c r="G112" s="138">
        <f>+G110^2+8*G110/(4*B63/(PI()*(B62^2)*E64))-2*H62*B62*((PI()*(B62^2)/4)^2)*F81/((0.25)*((LOG10(3.71*B62/B63))^(-2)))</f>
        <v>0.0009354173243973606</v>
      </c>
      <c r="H112" s="28"/>
      <c r="I112" s="28"/>
    </row>
    <row r="113" spans="1:9" ht="6.75" customHeight="1">
      <c r="A113" s="156"/>
      <c r="B113" s="66"/>
      <c r="C113" s="170"/>
      <c r="D113" s="156"/>
      <c r="E113" s="106"/>
      <c r="F113" s="125"/>
      <c r="G113" s="138"/>
      <c r="H113" s="28"/>
      <c r="I113" s="28"/>
    </row>
    <row r="114" spans="1:9" ht="15.75" customHeight="1">
      <c r="A114" s="14" t="s">
        <v>327</v>
      </c>
      <c r="B114" s="66"/>
      <c r="C114" s="170"/>
      <c r="D114" s="156"/>
      <c r="E114" s="106"/>
      <c r="F114" s="69"/>
      <c r="G114" s="352">
        <f>+ABS(G110-E100)/E100</f>
        <v>0.037628542175346065</v>
      </c>
      <c r="H114" s="28"/>
      <c r="I114" s="28"/>
    </row>
    <row r="115" spans="1:8" ht="6" customHeight="1">
      <c r="A115" s="156"/>
      <c r="B115" s="156"/>
      <c r="C115" s="156"/>
      <c r="D115" s="156"/>
      <c r="E115" s="156"/>
      <c r="F115" s="156"/>
      <c r="G115" s="156"/>
      <c r="H115" s="156"/>
    </row>
    <row r="116" spans="1:9" ht="6" customHeight="1">
      <c r="A116" s="213"/>
      <c r="B116" s="213"/>
      <c r="C116" s="213"/>
      <c r="D116" s="213"/>
      <c r="E116" s="213"/>
      <c r="F116" s="213"/>
      <c r="G116" s="213"/>
      <c r="H116" s="213"/>
      <c r="I116" s="131"/>
    </row>
    <row r="117" ht="6" customHeight="1"/>
    <row r="118" ht="15.75" customHeight="1">
      <c r="A118" s="85" t="s">
        <v>1725</v>
      </c>
    </row>
    <row r="119" ht="6" customHeight="1">
      <c r="A119" s="1"/>
    </row>
    <row r="120" ht="15.75" customHeight="1">
      <c r="A120" s="5" t="s">
        <v>112</v>
      </c>
    </row>
    <row r="121" ht="6" customHeight="1"/>
    <row r="122" spans="1:9" ht="15.75" customHeight="1">
      <c r="A122" s="1" t="s">
        <v>1726</v>
      </c>
      <c r="B122" s="3">
        <v>50</v>
      </c>
      <c r="C122" s="120" t="s">
        <v>699</v>
      </c>
      <c r="D122" s="1" t="s">
        <v>2297</v>
      </c>
      <c r="E122" s="3">
        <v>0.1</v>
      </c>
      <c r="F122" s="120" t="s">
        <v>699</v>
      </c>
      <c r="G122" s="1" t="s">
        <v>1017</v>
      </c>
      <c r="H122" s="1">
        <v>9.806</v>
      </c>
      <c r="I122" s="28" t="s">
        <v>1018</v>
      </c>
    </row>
    <row r="123" spans="1:9" ht="15.75" customHeight="1">
      <c r="A123" s="1" t="s">
        <v>2025</v>
      </c>
      <c r="B123" s="3">
        <v>20</v>
      </c>
      <c r="C123" s="120" t="s">
        <v>699</v>
      </c>
      <c r="D123" s="2" t="s">
        <v>2514</v>
      </c>
      <c r="E123" s="214">
        <f>10^-4</f>
        <v>0.0001</v>
      </c>
      <c r="F123" s="120" t="s">
        <v>699</v>
      </c>
      <c r="G123" s="68" t="s">
        <v>1727</v>
      </c>
      <c r="H123" s="68">
        <v>0.61</v>
      </c>
      <c r="I123"/>
    </row>
    <row r="124" spans="1:8" ht="15.75" customHeight="1">
      <c r="A124" s="1" t="s">
        <v>2382</v>
      </c>
      <c r="B124" s="3">
        <v>35</v>
      </c>
      <c r="C124" s="120" t="s">
        <v>699</v>
      </c>
      <c r="D124" s="2" t="s">
        <v>1017</v>
      </c>
      <c r="E124" s="1">
        <v>9806</v>
      </c>
      <c r="F124" s="28" t="s">
        <v>713</v>
      </c>
      <c r="G124" s="16" t="s">
        <v>714</v>
      </c>
      <c r="H124" s="12">
        <v>1</v>
      </c>
    </row>
    <row r="125" spans="1:6" ht="15.75" customHeight="1">
      <c r="A125" s="1" t="s">
        <v>711</v>
      </c>
      <c r="B125" s="3">
        <v>100</v>
      </c>
      <c r="C125" s="120" t="s">
        <v>699</v>
      </c>
      <c r="D125" s="2" t="s">
        <v>709</v>
      </c>
      <c r="E125" s="215">
        <v>1E-06</v>
      </c>
      <c r="F125" s="28" t="s">
        <v>893</v>
      </c>
    </row>
    <row r="126" ht="6" customHeight="1"/>
    <row r="127" spans="1:8" ht="15.75" customHeight="1">
      <c r="A127" s="76" t="s">
        <v>1728</v>
      </c>
      <c r="B127" s="3"/>
      <c r="D127" s="16"/>
      <c r="E127" s="12"/>
      <c r="F127"/>
      <c r="G127" s="156"/>
      <c r="H127" s="156"/>
    </row>
    <row r="128" spans="1:8" ht="6" customHeight="1">
      <c r="A128" s="1"/>
      <c r="B128" s="3"/>
      <c r="D128" s="16"/>
      <c r="E128" s="12"/>
      <c r="F128"/>
      <c r="G128" s="156"/>
      <c r="H128" s="156"/>
    </row>
    <row r="129" spans="1:8" ht="15.75" customHeight="1">
      <c r="A129" s="5" t="s">
        <v>113</v>
      </c>
      <c r="B129" s="1"/>
      <c r="D129" s="1"/>
      <c r="E129" s="3"/>
      <c r="G129" s="156"/>
      <c r="H129" s="156"/>
    </row>
    <row r="130" spans="1:8" ht="6" customHeight="1">
      <c r="A130"/>
      <c r="B130"/>
      <c r="C130"/>
      <c r="D130"/>
      <c r="E130"/>
      <c r="F130"/>
      <c r="G130" s="156"/>
      <c r="H130" s="156"/>
    </row>
    <row r="131" spans="1:8" ht="15.75" customHeight="1">
      <c r="A131" s="65" t="s">
        <v>1729</v>
      </c>
      <c r="B131"/>
      <c r="C131" s="216"/>
      <c r="D131" s="216"/>
      <c r="E131"/>
      <c r="F131"/>
      <c r="G131" s="156"/>
      <c r="H131" s="156"/>
    </row>
    <row r="132" spans="1:8" ht="6" customHeight="1">
      <c r="A132"/>
      <c r="B132"/>
      <c r="C132"/>
      <c r="D132"/>
      <c r="E132"/>
      <c r="F132"/>
      <c r="G132" s="156"/>
      <c r="H132" s="156"/>
    </row>
    <row r="133" spans="1:8" ht="15.75" customHeight="1">
      <c r="A133"/>
      <c r="B133" s="135" t="s">
        <v>1730</v>
      </c>
      <c r="C133"/>
      <c r="D133"/>
      <c r="E133"/>
      <c r="F133"/>
      <c r="G133" s="156"/>
      <c r="H133" s="156"/>
    </row>
    <row r="134" spans="1:8" ht="6" customHeight="1">
      <c r="A134"/>
      <c r="B134"/>
      <c r="C134"/>
      <c r="D134"/>
      <c r="E134"/>
      <c r="F134"/>
      <c r="G134" s="156"/>
      <c r="H134" s="156"/>
    </row>
    <row r="135" spans="1:8" ht="15.75" customHeight="1">
      <c r="A135" s="14" t="s">
        <v>1420</v>
      </c>
      <c r="B135"/>
      <c r="C135"/>
      <c r="D135"/>
      <c r="E135"/>
      <c r="F135"/>
      <c r="G135" s="156"/>
      <c r="H135" s="156"/>
    </row>
    <row r="136" spans="1:8" ht="15.75" customHeight="1">
      <c r="A136" s="14" t="s">
        <v>1421</v>
      </c>
      <c r="B136"/>
      <c r="C136"/>
      <c r="D136"/>
      <c r="E136"/>
      <c r="F136"/>
      <c r="G136" s="156"/>
      <c r="H136" s="156"/>
    </row>
    <row r="137" spans="1:8" ht="6" customHeight="1">
      <c r="A137" s="144"/>
      <c r="B137"/>
      <c r="C137"/>
      <c r="D137"/>
      <c r="E137"/>
      <c r="F137"/>
      <c r="G137" s="156"/>
      <c r="H137" s="156"/>
    </row>
    <row r="138" spans="1:8" ht="15.75" customHeight="1">
      <c r="A138" s="14" t="s">
        <v>1422</v>
      </c>
      <c r="B138"/>
      <c r="C138"/>
      <c r="D138"/>
      <c r="E138"/>
      <c r="F138"/>
      <c r="G138" s="156"/>
      <c r="H138" s="156"/>
    </row>
    <row r="139" spans="2:8" ht="6" customHeight="1">
      <c r="B139"/>
      <c r="C139"/>
      <c r="D139"/>
      <c r="E139"/>
      <c r="F139"/>
      <c r="G139" s="156"/>
      <c r="H139" s="156"/>
    </row>
    <row r="140" spans="1:8" ht="15.75" customHeight="1">
      <c r="A140" s="14" t="s">
        <v>1423</v>
      </c>
      <c r="B140"/>
      <c r="C140"/>
      <c r="D140"/>
      <c r="E140"/>
      <c r="F140"/>
      <c r="G140" s="156"/>
      <c r="H140" s="156"/>
    </row>
    <row r="141" spans="1:8" ht="15.75" customHeight="1">
      <c r="A141" s="14" t="s">
        <v>311</v>
      </c>
      <c r="B141"/>
      <c r="C141"/>
      <c r="D141"/>
      <c r="E141"/>
      <c r="F141"/>
      <c r="G141" s="156"/>
      <c r="H141" s="156"/>
    </row>
    <row r="142" spans="1:8" ht="15.75" customHeight="1">
      <c r="A142" s="14" t="s">
        <v>312</v>
      </c>
      <c r="B142"/>
      <c r="C142"/>
      <c r="D142"/>
      <c r="E142"/>
      <c r="F142"/>
      <c r="G142" s="156"/>
      <c r="H142" s="156"/>
    </row>
    <row r="143" spans="1:8" ht="15.75" customHeight="1">
      <c r="A143" s="14" t="s">
        <v>313</v>
      </c>
      <c r="B143"/>
      <c r="C143"/>
      <c r="D143"/>
      <c r="E143"/>
      <c r="F143"/>
      <c r="G143" s="156"/>
      <c r="H143" s="156"/>
    </row>
    <row r="144" spans="1:8" ht="15.75" customHeight="1">
      <c r="A144" s="14" t="s">
        <v>314</v>
      </c>
      <c r="B144"/>
      <c r="C144"/>
      <c r="D144"/>
      <c r="E144"/>
      <c r="F144"/>
      <c r="G144" s="156"/>
      <c r="H144" s="156"/>
    </row>
    <row r="145" spans="1:8" ht="15.75" customHeight="1">
      <c r="A145" s="14" t="s">
        <v>315</v>
      </c>
      <c r="B145"/>
      <c r="C145"/>
      <c r="D145"/>
      <c r="E145"/>
      <c r="F145"/>
      <c r="G145" s="156"/>
      <c r="H145" s="156"/>
    </row>
    <row r="146" spans="1:8" ht="6" customHeight="1">
      <c r="A146" s="84"/>
      <c r="B146"/>
      <c r="C146"/>
      <c r="D146"/>
      <c r="E146"/>
      <c r="F146"/>
      <c r="G146" s="156"/>
      <c r="H146" s="156"/>
    </row>
    <row r="147" spans="1:8" ht="15.75" customHeight="1">
      <c r="A147" s="120" t="s">
        <v>316</v>
      </c>
      <c r="B147"/>
      <c r="C147"/>
      <c r="D147" s="156"/>
      <c r="G147" s="217" t="s">
        <v>317</v>
      </c>
      <c r="H147" s="156"/>
    </row>
    <row r="148" spans="1:8" ht="6" customHeight="1">
      <c r="A148"/>
      <c r="B148"/>
      <c r="C148"/>
      <c r="D148"/>
      <c r="E148"/>
      <c r="F148"/>
      <c r="G148" s="156"/>
      <c r="H148" s="156"/>
    </row>
    <row r="149" spans="1:8" ht="15.75" customHeight="1">
      <c r="A149"/>
      <c r="B149"/>
      <c r="C149"/>
      <c r="D149" s="156"/>
      <c r="F149" s="218" t="s">
        <v>318</v>
      </c>
      <c r="H149" s="156"/>
    </row>
    <row r="150" spans="1:8" ht="6" customHeight="1">
      <c r="A150"/>
      <c r="B150"/>
      <c r="C150"/>
      <c r="D150"/>
      <c r="E150"/>
      <c r="F150"/>
      <c r="G150" s="156"/>
      <c r="H150" s="156"/>
    </row>
    <row r="151" spans="1:8" ht="15.75" customHeight="1">
      <c r="A151" s="120" t="s">
        <v>319</v>
      </c>
      <c r="B151"/>
      <c r="C151"/>
      <c r="D151"/>
      <c r="E151"/>
      <c r="F151"/>
      <c r="G151" s="156"/>
      <c r="H151" s="156"/>
    </row>
    <row r="152" spans="1:8" ht="6" customHeight="1">
      <c r="A152"/>
      <c r="B152"/>
      <c r="C152"/>
      <c r="D152"/>
      <c r="E152"/>
      <c r="F152"/>
      <c r="G152" s="156"/>
      <c r="H152" s="156"/>
    </row>
    <row r="153" spans="1:8" ht="15.75" customHeight="1">
      <c r="A153" s="66" t="s">
        <v>320</v>
      </c>
      <c r="B153" s="3">
        <f>+PI()*E122^2/4</f>
        <v>0.007853981633974483</v>
      </c>
      <c r="C153" s="28" t="s">
        <v>108</v>
      </c>
      <c r="D153" s="137" t="s">
        <v>321</v>
      </c>
      <c r="F153" s="219"/>
      <c r="G153" s="220"/>
      <c r="H153" s="156"/>
    </row>
    <row r="154" spans="1:8" ht="6" customHeight="1">
      <c r="A154" s="2"/>
      <c r="B154" s="3"/>
      <c r="C154"/>
      <c r="D154" s="68"/>
      <c r="F154" s="156"/>
      <c r="G154" s="156"/>
      <c r="H154" s="156"/>
    </row>
    <row r="155" spans="1:8" ht="15.75" customHeight="1">
      <c r="A155" s="2" t="s">
        <v>1710</v>
      </c>
      <c r="B155" s="1">
        <f>+E123/E122</f>
        <v>0.001</v>
      </c>
      <c r="D155" s="137" t="s">
        <v>321</v>
      </c>
      <c r="F155" s="219"/>
      <c r="G155" s="221"/>
      <c r="H155" s="156"/>
    </row>
    <row r="156" spans="1:8" ht="6" customHeight="1">
      <c r="A156"/>
      <c r="B156"/>
      <c r="C156"/>
      <c r="E156" s="2"/>
      <c r="F156"/>
      <c r="G156" s="156"/>
      <c r="H156" s="156"/>
    </row>
    <row r="157" spans="1:8" ht="15.75" customHeight="1">
      <c r="A157" s="222" t="s">
        <v>1150</v>
      </c>
      <c r="B157" s="156"/>
      <c r="D157" s="19">
        <f>(1/4)*(LOG10(3.71*E122/E123))^(-2)</f>
        <v>0.01962257144440472</v>
      </c>
      <c r="E157" s="137" t="s">
        <v>321</v>
      </c>
      <c r="F157" s="219"/>
      <c r="G157" s="221"/>
      <c r="H157" s="156"/>
    </row>
    <row r="158" spans="2:8" ht="6" customHeight="1">
      <c r="B158"/>
      <c r="C158"/>
      <c r="D158"/>
      <c r="E158"/>
      <c r="F158"/>
      <c r="G158" s="156"/>
      <c r="H158" s="156"/>
    </row>
    <row r="159" spans="1:8" ht="15.75" customHeight="1">
      <c r="A159" s="120" t="s">
        <v>1151</v>
      </c>
      <c r="B159"/>
      <c r="C159" s="156"/>
      <c r="E159" s="19">
        <f>+$B$153*SQRT(2*$H$122*($B$122-$B$123)/(0.5+D157*$B$125/$E$122+1))</f>
        <v>0.04145129061377017</v>
      </c>
      <c r="F159" s="69" t="s">
        <v>2374</v>
      </c>
      <c r="G159" s="221"/>
      <c r="H159" s="156"/>
    </row>
    <row r="160" spans="2:8" ht="6" customHeight="1">
      <c r="B160"/>
      <c r="C160" s="3"/>
      <c r="D160" s="69"/>
      <c r="E160"/>
      <c r="F160"/>
      <c r="G160" s="156"/>
      <c r="H160" s="156"/>
    </row>
    <row r="161" spans="1:8" ht="15.75" customHeight="1">
      <c r="A161" s="4" t="s">
        <v>1152</v>
      </c>
      <c r="B161" s="156"/>
      <c r="C161" s="215">
        <f>4*E159/(PI()*$E$122*$E$125)</f>
        <v>527774.2238976165</v>
      </c>
      <c r="D161" s="120" t="s">
        <v>1153</v>
      </c>
      <c r="E161"/>
      <c r="F161" s="219"/>
      <c r="G161" s="221"/>
      <c r="H161" s="156"/>
    </row>
    <row r="162" spans="1:8" ht="15.75" customHeight="1">
      <c r="A162"/>
      <c r="B162"/>
      <c r="C162" s="156"/>
      <c r="D162" s="120" t="s">
        <v>1154</v>
      </c>
      <c r="E162"/>
      <c r="F162"/>
      <c r="G162" s="156"/>
      <c r="H162" s="156"/>
    </row>
    <row r="163" spans="1:8" ht="15.75" customHeight="1">
      <c r="A163"/>
      <c r="B163"/>
      <c r="C163" s="156"/>
      <c r="D163" s="120" t="s">
        <v>1155</v>
      </c>
      <c r="E163"/>
      <c r="F163"/>
      <c r="G163" s="156"/>
      <c r="H163" s="156"/>
    </row>
    <row r="164" spans="1:8" ht="6" customHeight="1">
      <c r="A164" s="223"/>
      <c r="B164"/>
      <c r="C164" s="137"/>
      <c r="E164"/>
      <c r="F164"/>
      <c r="G164" s="156"/>
      <c r="H164" s="156"/>
    </row>
    <row r="165" spans="1:8" ht="15.75" customHeight="1">
      <c r="A165" s="137" t="s">
        <v>1156</v>
      </c>
      <c r="B165"/>
      <c r="C165"/>
      <c r="D165"/>
      <c r="E165"/>
      <c r="F165"/>
      <c r="G165" s="156"/>
      <c r="H165" s="156"/>
    </row>
    <row r="166" spans="2:8" ht="6" customHeight="1">
      <c r="B166"/>
      <c r="C166"/>
      <c r="D166"/>
      <c r="E166"/>
      <c r="F166"/>
      <c r="G166" s="156"/>
      <c r="H166" s="156"/>
    </row>
    <row r="167" spans="1:8" ht="15.75" customHeight="1">
      <c r="A167" s="222" t="s">
        <v>1157</v>
      </c>
      <c r="B167" s="156"/>
      <c r="D167" s="19">
        <f>+$D$157*(1+8/(C161*$B$155))</f>
        <v>0.019920010319679708</v>
      </c>
      <c r="E167"/>
      <c r="F167" s="219"/>
      <c r="G167" s="221"/>
      <c r="H167" s="156"/>
    </row>
    <row r="168" spans="2:8" ht="6" customHeight="1">
      <c r="B168"/>
      <c r="C168"/>
      <c r="D168"/>
      <c r="E168"/>
      <c r="F168"/>
      <c r="G168" s="156"/>
      <c r="H168" s="156"/>
    </row>
    <row r="169" spans="1:8" ht="15.75" customHeight="1">
      <c r="A169" s="120" t="s">
        <v>1929</v>
      </c>
      <c r="B169"/>
      <c r="C169" s="156"/>
      <c r="E169" s="19">
        <f>+$B$153*SQRT(2*$H$122*($B$122-$B$123)/(0.5+D167*$B$125/$E$122+1))</f>
        <v>0.04116248762441466</v>
      </c>
      <c r="F169" s="69" t="s">
        <v>2374</v>
      </c>
      <c r="G169" s="221"/>
      <c r="H169" s="156"/>
    </row>
    <row r="170" spans="2:8" ht="6" customHeight="1">
      <c r="B170"/>
      <c r="C170" s="3"/>
      <c r="D170" s="69"/>
      <c r="E170"/>
      <c r="F170"/>
      <c r="G170" s="156"/>
      <c r="H170" s="156"/>
    </row>
    <row r="171" spans="1:8" ht="15.75" customHeight="1">
      <c r="A171" s="4" t="s">
        <v>1930</v>
      </c>
      <c r="B171" s="156"/>
      <c r="C171" s="215">
        <f>4*E169/(PI()*$E$122*$E$125)</f>
        <v>524097.07003076497</v>
      </c>
      <c r="D171" s="120" t="s">
        <v>1684</v>
      </c>
      <c r="E171"/>
      <c r="F171"/>
      <c r="G171" s="156"/>
      <c r="H171" s="156"/>
    </row>
    <row r="172" spans="1:8" ht="15.75" customHeight="1">
      <c r="A172" s="223"/>
      <c r="B172"/>
      <c r="C172" s="156"/>
      <c r="D172" s="120" t="s">
        <v>1685</v>
      </c>
      <c r="E172"/>
      <c r="F172"/>
      <c r="G172" s="156"/>
      <c r="H172" s="156"/>
    </row>
    <row r="173" spans="1:8" ht="15.75" customHeight="1">
      <c r="A173"/>
      <c r="B173"/>
      <c r="C173" s="156"/>
      <c r="D173" s="120" t="s">
        <v>1686</v>
      </c>
      <c r="E173"/>
      <c r="F173"/>
      <c r="G173" s="156"/>
      <c r="H173" s="156"/>
    </row>
    <row r="174" spans="1:8" ht="15.75" customHeight="1">
      <c r="A174"/>
      <c r="B174"/>
      <c r="C174" s="156"/>
      <c r="D174" s="120" t="s">
        <v>1687</v>
      </c>
      <c r="E174"/>
      <c r="F174"/>
      <c r="G174" s="156"/>
      <c r="H174" s="156"/>
    </row>
    <row r="175" spans="1:8" ht="6.75" customHeight="1">
      <c r="A175"/>
      <c r="B175"/>
      <c r="C175" s="137"/>
      <c r="D175"/>
      <c r="E175"/>
      <c r="F175"/>
      <c r="G175" s="156"/>
      <c r="H175" s="156"/>
    </row>
    <row r="176" spans="1:8" ht="15.75" customHeight="1">
      <c r="A176" s="137" t="s">
        <v>1688</v>
      </c>
      <c r="B176"/>
      <c r="C176"/>
      <c r="D176"/>
      <c r="E176"/>
      <c r="F176"/>
      <c r="G176" s="156"/>
      <c r="H176" s="156"/>
    </row>
    <row r="177" spans="2:8" ht="6.75" customHeight="1">
      <c r="B177"/>
      <c r="C177"/>
      <c r="D177"/>
      <c r="E177"/>
      <c r="F177"/>
      <c r="G177" s="156"/>
      <c r="H177" s="156"/>
    </row>
    <row r="178" spans="1:8" ht="15.75" customHeight="1">
      <c r="A178" s="222" t="s">
        <v>1689</v>
      </c>
      <c r="B178" s="156"/>
      <c r="D178" s="19">
        <f>+$D$157*(1+8/(C171*$B$155))</f>
        <v>0.01992209720123832</v>
      </c>
      <c r="E178"/>
      <c r="F178" s="219"/>
      <c r="G178" s="221"/>
      <c r="H178" s="156"/>
    </row>
    <row r="179" spans="2:8" ht="6" customHeight="1">
      <c r="B179"/>
      <c r="C179"/>
      <c r="D179"/>
      <c r="E179"/>
      <c r="F179"/>
      <c r="G179" s="156"/>
      <c r="H179" s="156"/>
    </row>
    <row r="180" spans="1:8" ht="15.75" customHeight="1">
      <c r="A180" s="120" t="s">
        <v>1690</v>
      </c>
      <c r="B180"/>
      <c r="C180" s="156"/>
      <c r="E180" s="19">
        <f>+$B$153*SQRT(2*$H$122*($B$122-$B$123)/(0.5+D178*$B$125/$E$122+1))</f>
        <v>0.04116048260763946</v>
      </c>
      <c r="F180" s="69" t="s">
        <v>2374</v>
      </c>
      <c r="G180" s="221"/>
      <c r="H180" s="156"/>
    </row>
    <row r="181" spans="2:8" ht="6" customHeight="1">
      <c r="B181"/>
      <c r="C181" s="156"/>
      <c r="D181" s="19"/>
      <c r="E181" s="69"/>
      <c r="F181" s="219"/>
      <c r="G181" s="221"/>
      <c r="H181" s="156"/>
    </row>
    <row r="182" spans="1:8" ht="15.75" customHeight="1">
      <c r="A182" s="4" t="s">
        <v>1691</v>
      </c>
      <c r="B182" s="156"/>
      <c r="C182" s="215">
        <f>4*E180/(PI()*$E$122*$E$125)</f>
        <v>524071.54136430443</v>
      </c>
      <c r="D182" s="120" t="s">
        <v>1153</v>
      </c>
      <c r="F182"/>
      <c r="G182" s="156"/>
      <c r="H182" s="156"/>
    </row>
    <row r="183" spans="2:8" ht="15.75" customHeight="1">
      <c r="B183" s="215"/>
      <c r="C183" s="156"/>
      <c r="D183" s="120" t="s">
        <v>1692</v>
      </c>
      <c r="F183"/>
      <c r="G183" s="156"/>
      <c r="H183" s="156"/>
    </row>
    <row r="184" spans="2:8" ht="15.75" customHeight="1">
      <c r="B184" s="215"/>
      <c r="C184" s="156"/>
      <c r="D184" s="120" t="s">
        <v>1960</v>
      </c>
      <c r="F184"/>
      <c r="G184" s="156"/>
      <c r="H184" s="156"/>
    </row>
    <row r="185" spans="1:8" ht="15.75" customHeight="1">
      <c r="A185"/>
      <c r="B185"/>
      <c r="C185" s="156"/>
      <c r="D185" s="120" t="s">
        <v>1961</v>
      </c>
      <c r="F185"/>
      <c r="G185" s="156"/>
      <c r="H185" s="156"/>
    </row>
    <row r="186" spans="1:8" ht="6" customHeight="1">
      <c r="A186"/>
      <c r="B186"/>
      <c r="C186"/>
      <c r="F186"/>
      <c r="G186" s="156"/>
      <c r="H186" s="156"/>
    </row>
    <row r="187" spans="1:8" ht="15.75" customHeight="1">
      <c r="A187" s="137" t="s">
        <v>1962</v>
      </c>
      <c r="B187"/>
      <c r="C187"/>
      <c r="F187"/>
      <c r="G187" s="156"/>
      <c r="H187" s="156"/>
    </row>
    <row r="188" spans="2:8" ht="6" customHeight="1">
      <c r="B188"/>
      <c r="C188"/>
      <c r="F188"/>
      <c r="G188" s="156"/>
      <c r="H188" s="156"/>
    </row>
    <row r="189" spans="1:8" ht="15.75" customHeight="1">
      <c r="A189" s="222" t="s">
        <v>1963</v>
      </c>
      <c r="B189" s="156"/>
      <c r="D189" s="19">
        <f>+$D$157*(1+8/(C182*$B$155))</f>
        <v>0.01992211179179045</v>
      </c>
      <c r="F189" s="219"/>
      <c r="G189" s="221"/>
      <c r="H189" s="156"/>
    </row>
    <row r="190" spans="2:8" ht="6" customHeight="1">
      <c r="B190"/>
      <c r="C190"/>
      <c r="F190"/>
      <c r="G190" s="156"/>
      <c r="H190" s="156"/>
    </row>
    <row r="191" spans="1:8" ht="15.75" customHeight="1">
      <c r="A191" s="74" t="s">
        <v>1964</v>
      </c>
      <c r="B191" s="203"/>
      <c r="C191" s="171"/>
      <c r="D191" s="74"/>
      <c r="E191" s="224">
        <f>+$B$153*SQRT(2*$H$122*($B$122-$B$123)/(0.5+D189*$B$125/$E$122+1))</f>
        <v>0.04116046859048103</v>
      </c>
      <c r="F191" s="161" t="s">
        <v>2374</v>
      </c>
      <c r="G191" s="221"/>
      <c r="H191" s="156"/>
    </row>
    <row r="192" spans="2:8" ht="6" customHeight="1">
      <c r="B192"/>
      <c r="C192" s="156"/>
      <c r="D192" s="225"/>
      <c r="E192" s="117"/>
      <c r="F192" s="219"/>
      <c r="G192" s="221"/>
      <c r="H192" s="156"/>
    </row>
    <row r="193" spans="1:8" ht="15.75" customHeight="1">
      <c r="A193" s="4" t="s">
        <v>1965</v>
      </c>
      <c r="B193" s="156"/>
      <c r="C193" s="215">
        <f>4*E191/(PI()*$E$122*$E$125)</f>
        <v>524071.3628923003</v>
      </c>
      <c r="D193" s="120" t="s">
        <v>1153</v>
      </c>
      <c r="F193"/>
      <c r="G193" s="156"/>
      <c r="H193" s="156"/>
    </row>
    <row r="194" spans="1:8" ht="15.75" customHeight="1">
      <c r="A194" s="223"/>
      <c r="B194" s="19"/>
      <c r="C194" s="156"/>
      <c r="D194" s="137" t="s">
        <v>1966</v>
      </c>
      <c r="F194"/>
      <c r="G194" s="156"/>
      <c r="H194" s="156"/>
    </row>
    <row r="195" spans="1:8" ht="15.75" customHeight="1">
      <c r="A195"/>
      <c r="B195"/>
      <c r="C195" s="156"/>
      <c r="D195" s="137" t="s">
        <v>1321</v>
      </c>
      <c r="E195"/>
      <c r="F195"/>
      <c r="G195" s="156"/>
      <c r="H195" s="156"/>
    </row>
    <row r="196" spans="1:8" ht="6" customHeight="1">
      <c r="A196" s="26"/>
      <c r="B196" s="26"/>
      <c r="C196" s="226"/>
      <c r="D196" s="26"/>
      <c r="E196" s="26"/>
      <c r="F196" s="26"/>
      <c r="G196" s="156"/>
      <c r="H196" s="156"/>
    </row>
    <row r="197" spans="1:8" ht="15.75" customHeight="1">
      <c r="A197" s="227" t="s">
        <v>1322</v>
      </c>
      <c r="B197" s="156"/>
      <c r="C197" s="156"/>
      <c r="D197" s="156"/>
      <c r="E197" s="156"/>
      <c r="F197" s="156"/>
      <c r="G197" s="156"/>
      <c r="H197" s="156"/>
    </row>
    <row r="198" spans="1:8" ht="6" customHeight="1">
      <c r="A198" s="117"/>
      <c r="B198" s="156"/>
      <c r="C198" s="156"/>
      <c r="D198" s="156"/>
      <c r="E198" s="156"/>
      <c r="F198" s="156"/>
      <c r="G198" s="156"/>
      <c r="H198" s="156"/>
    </row>
    <row r="199" spans="1:8" ht="15.75" customHeight="1">
      <c r="A199" s="156"/>
      <c r="B199" s="117" t="s">
        <v>1323</v>
      </c>
      <c r="C199" s="156"/>
      <c r="D199" s="156"/>
      <c r="E199" s="156"/>
      <c r="F199"/>
      <c r="G199" s="156"/>
      <c r="H199" s="156"/>
    </row>
    <row r="200" spans="1:8" ht="6" customHeight="1">
      <c r="A200" s="156"/>
      <c r="B200" s="117"/>
      <c r="C200" s="156"/>
      <c r="D200" s="156"/>
      <c r="E200" s="156"/>
      <c r="F200"/>
      <c r="G200" s="156"/>
      <c r="H200" s="156"/>
    </row>
    <row r="201" spans="1:8" ht="15.75" customHeight="1">
      <c r="A201" s="14" t="s">
        <v>1381</v>
      </c>
      <c r="B201" s="117"/>
      <c r="C201" s="156"/>
      <c r="D201" s="156"/>
      <c r="E201" s="156"/>
      <c r="F201"/>
      <c r="G201" s="156"/>
      <c r="H201" s="156"/>
    </row>
    <row r="202" spans="1:8" ht="6" customHeight="1">
      <c r="A202"/>
      <c r="B202" s="156"/>
      <c r="C202" s="156"/>
      <c r="D202" s="156"/>
      <c r="E202" s="156"/>
      <c r="F202" s="156"/>
      <c r="G202" s="156"/>
      <c r="H202" s="156"/>
    </row>
    <row r="203" spans="1:8" ht="15.75" customHeight="1">
      <c r="A203" s="68" t="s">
        <v>1726</v>
      </c>
      <c r="B203" s="106">
        <f>+B122</f>
        <v>50</v>
      </c>
      <c r="C203" s="120" t="s">
        <v>699</v>
      </c>
      <c r="D203" s="1" t="s">
        <v>2382</v>
      </c>
      <c r="E203" s="3">
        <f>+B124</f>
        <v>35</v>
      </c>
      <c r="F203" s="120" t="s">
        <v>699</v>
      </c>
      <c r="G203" s="156"/>
      <c r="H203" s="156"/>
    </row>
    <row r="204" spans="1:8" ht="6" customHeight="1">
      <c r="A204" s="68"/>
      <c r="B204" s="68"/>
      <c r="C204" s="156"/>
      <c r="D204" s="156"/>
      <c r="E204" s="156"/>
      <c r="F204" s="156"/>
      <c r="G204" s="156"/>
      <c r="H204" s="156"/>
    </row>
    <row r="205" spans="1:8" ht="15.75" customHeight="1">
      <c r="A205" s="84" t="s">
        <v>1324</v>
      </c>
      <c r="B205" s="68"/>
      <c r="C205" s="156"/>
      <c r="D205" s="156"/>
      <c r="E205" s="156"/>
      <c r="F205" s="156"/>
      <c r="G205" s="156"/>
      <c r="H205" s="156"/>
    </row>
    <row r="206" spans="1:8" ht="6" customHeight="1">
      <c r="A206" s="68"/>
      <c r="B206" s="68"/>
      <c r="C206" s="156"/>
      <c r="D206" s="156"/>
      <c r="E206" s="156"/>
      <c r="F206" s="156"/>
      <c r="G206" s="156"/>
      <c r="H206" s="156"/>
    </row>
    <row r="207" spans="1:8" ht="15.75" customHeight="1">
      <c r="A207" s="68" t="s">
        <v>1325</v>
      </c>
      <c r="B207" s="3">
        <f>+E191/B153</f>
        <v>5.240713628923003</v>
      </c>
      <c r="C207" s="66" t="s">
        <v>2381</v>
      </c>
      <c r="E207" s="66" t="s">
        <v>1326</v>
      </c>
      <c r="G207" s="106">
        <f>+E191/(H123*B153)</f>
        <v>8.591333817906563</v>
      </c>
      <c r="H207" s="66" t="s">
        <v>2381</v>
      </c>
    </row>
    <row r="208" spans="1:8" ht="6" customHeight="1">
      <c r="A208" s="68"/>
      <c r="B208" s="3"/>
      <c r="C208" s="66"/>
      <c r="D208" s="68"/>
      <c r="E208" s="106"/>
      <c r="F208" s="66"/>
      <c r="G208" s="156"/>
      <c r="H208" s="156"/>
    </row>
    <row r="209" spans="1:8" ht="15.75" customHeight="1">
      <c r="A209" s="14" t="s">
        <v>1429</v>
      </c>
      <c r="B209"/>
      <c r="C209" s="66"/>
      <c r="D209"/>
      <c r="E209"/>
      <c r="F209"/>
      <c r="G209" s="156"/>
      <c r="H209" s="156"/>
    </row>
    <row r="210" spans="1:8" ht="6" customHeight="1">
      <c r="A210" s="84"/>
      <c r="B210"/>
      <c r="C210" s="66"/>
      <c r="D210"/>
      <c r="E210"/>
      <c r="F210"/>
      <c r="G210" s="156"/>
      <c r="H210" s="156"/>
    </row>
    <row r="211" spans="1:8" ht="15.75" customHeight="1">
      <c r="A211"/>
      <c r="B211" s="66" t="s">
        <v>1327</v>
      </c>
      <c r="D211" s="106">
        <f>0.1*B207^2/(2*H122)</f>
        <v>0.14004221568620903</v>
      </c>
      <c r="E211" s="66" t="s">
        <v>699</v>
      </c>
      <c r="F211"/>
      <c r="G211" s="156"/>
      <c r="H211" s="156"/>
    </row>
    <row r="212" spans="1:8" ht="6" customHeight="1">
      <c r="A212" s="68"/>
      <c r="B212" s="68"/>
      <c r="C212" s="156"/>
      <c r="D212" s="156"/>
      <c r="E212" s="156"/>
      <c r="F212" s="156"/>
      <c r="G212" s="156"/>
      <c r="H212" s="156"/>
    </row>
    <row r="213" spans="1:8" ht="15.75" customHeight="1">
      <c r="A213" s="125" t="s">
        <v>2575</v>
      </c>
      <c r="B213" s="106"/>
      <c r="C213" s="156"/>
      <c r="E213" s="174" t="s">
        <v>2576</v>
      </c>
      <c r="G213" s="106">
        <f>+G207^2/(2*H122)</f>
        <v>3.7635639797422478</v>
      </c>
      <c r="H213" s="120" t="s">
        <v>699</v>
      </c>
    </row>
    <row r="214" spans="1:8" ht="6" customHeight="1">
      <c r="A214" s="68"/>
      <c r="B214" s="68"/>
      <c r="C214" s="156"/>
      <c r="D214" s="156"/>
      <c r="E214" s="156"/>
      <c r="F214" s="156"/>
      <c r="G214" s="156"/>
      <c r="H214" s="156"/>
    </row>
    <row r="215" spans="1:8" ht="15.75" customHeight="1">
      <c r="A215" s="69" t="s">
        <v>2577</v>
      </c>
      <c r="B215"/>
      <c r="C215" s="156"/>
      <c r="E215" s="124">
        <f>+E124*(B122-(B124+G213+D211))</f>
        <v>108811.2376476286</v>
      </c>
      <c r="F215" s="69" t="s">
        <v>700</v>
      </c>
      <c r="G215" s="156"/>
      <c r="H215" s="156"/>
    </row>
    <row r="216" spans="1:8" ht="6" customHeight="1">
      <c r="A216" s="158"/>
      <c r="B216" s="156"/>
      <c r="C216" s="156"/>
      <c r="D216" s="156"/>
      <c r="E216" s="156"/>
      <c r="F216" s="156"/>
      <c r="G216" s="156"/>
      <c r="H216" s="156"/>
    </row>
    <row r="217" spans="1:8" ht="15.75" customHeight="1">
      <c r="A217" s="68" t="s">
        <v>2402</v>
      </c>
      <c r="B217" s="106">
        <f>+E215/E124</f>
        <v>11.096393804571548</v>
      </c>
      <c r="C217" s="68" t="s">
        <v>2403</v>
      </c>
      <c r="D217" s="106">
        <f>+-101325/E124</f>
        <v>-10.332959412604527</v>
      </c>
      <c r="E217" s="69" t="s">
        <v>699</v>
      </c>
      <c r="F217" s="106"/>
      <c r="G217" s="156"/>
      <c r="H217" s="156"/>
    </row>
    <row r="218" spans="1:8" ht="6" customHeight="1">
      <c r="A218"/>
      <c r="B218"/>
      <c r="C218"/>
      <c r="D218"/>
      <c r="E218"/>
      <c r="F218"/>
      <c r="G218" s="156"/>
      <c r="H218" s="156"/>
    </row>
    <row r="219" spans="1:8" ht="15.75" customHeight="1">
      <c r="A219" s="66" t="s">
        <v>2404</v>
      </c>
      <c r="B219" s="125"/>
      <c r="C219" s="125"/>
      <c r="D219" s="125"/>
      <c r="E219" s="125"/>
      <c r="F219" s="125"/>
      <c r="G219" s="156"/>
      <c r="H219" s="156"/>
    </row>
    <row r="220" spans="1:8" ht="15.75" customHeight="1">
      <c r="A220" s="66" t="s">
        <v>2405</v>
      </c>
      <c r="B220" s="125"/>
      <c r="C220" s="125"/>
      <c r="D220" s="125"/>
      <c r="E220" s="125"/>
      <c r="F220" s="125"/>
      <c r="G220" s="156"/>
      <c r="H220" s="156"/>
    </row>
    <row r="221" spans="1:8" ht="15.75" customHeight="1">
      <c r="A221" s="66" t="s">
        <v>2406</v>
      </c>
      <c r="B221" s="125"/>
      <c r="C221" s="125"/>
      <c r="D221" s="125"/>
      <c r="E221" s="125"/>
      <c r="F221" s="125"/>
      <c r="G221" s="156"/>
      <c r="H221" s="156"/>
    </row>
    <row r="222" spans="1:8" ht="15.75" customHeight="1">
      <c r="A222" s="66" t="s">
        <v>2407</v>
      </c>
      <c r="B222" s="125"/>
      <c r="C222" s="125"/>
      <c r="D222" s="125"/>
      <c r="E222" s="125"/>
      <c r="F222" s="125"/>
      <c r="G222" s="156"/>
      <c r="H222" s="156"/>
    </row>
    <row r="223" spans="1:8" ht="15.75" customHeight="1">
      <c r="A223" s="28" t="s">
        <v>2408</v>
      </c>
      <c r="B223" s="226"/>
      <c r="C223" s="226"/>
      <c r="D223" s="226"/>
      <c r="E223" s="226"/>
      <c r="F223" s="226"/>
      <c r="G223" s="156"/>
      <c r="H223" s="156"/>
    </row>
    <row r="224" spans="1:8" ht="6" customHeight="1">
      <c r="A224" s="54"/>
      <c r="B224" s="228"/>
      <c r="C224" s="229"/>
      <c r="D224" s="54"/>
      <c r="E224" s="54"/>
      <c r="F224" s="54"/>
      <c r="G224" s="156"/>
      <c r="H224" s="156"/>
    </row>
    <row r="225" spans="1:8" ht="15.75" customHeight="1">
      <c r="A225" s="28" t="s">
        <v>2409</v>
      </c>
      <c r="B225" s="228"/>
      <c r="C225" s="229"/>
      <c r="D225" s="54"/>
      <c r="E225" s="54"/>
      <c r="F225" s="54"/>
      <c r="G225" s="156"/>
      <c r="H225" s="156"/>
    </row>
    <row r="226" spans="1:8" ht="6" customHeight="1">
      <c r="A226" s="54"/>
      <c r="B226" s="228"/>
      <c r="C226" s="229"/>
      <c r="D226" s="54"/>
      <c r="E226" s="54"/>
      <c r="F226" s="54"/>
      <c r="G226" s="156"/>
      <c r="H226" s="156"/>
    </row>
    <row r="227" spans="1:8" ht="15.75" customHeight="1">
      <c r="A227" s="222" t="s">
        <v>2410</v>
      </c>
      <c r="B227" s="156"/>
      <c r="D227" s="19">
        <f>+(-2*LOG10(B155/3.71))^(-2)</f>
        <v>0.019622571444404723</v>
      </c>
      <c r="E227" s="230"/>
      <c r="F227" s="230"/>
      <c r="G227" s="156"/>
      <c r="H227" s="156"/>
    </row>
    <row r="228" spans="1:8" ht="6" customHeight="1">
      <c r="A228" s="230"/>
      <c r="B228" s="230"/>
      <c r="C228" s="231"/>
      <c r="D228" s="230"/>
      <c r="E228" s="230"/>
      <c r="F228" s="230"/>
      <c r="G228" s="156"/>
      <c r="H228" s="156"/>
    </row>
    <row r="229" spans="1:8" ht="15.75" customHeight="1">
      <c r="A229" s="120" t="s">
        <v>2411</v>
      </c>
      <c r="B229"/>
      <c r="C229" s="156"/>
      <c r="E229" s="19">
        <f>+$B$153*SQRT(2*$H$122*($B$122-$B$123)/(0.5+D227*$B$125/$E$122+1))</f>
        <v>0.04145129061377017</v>
      </c>
      <c r="F229" s="69" t="s">
        <v>2374</v>
      </c>
      <c r="G229" s="156"/>
      <c r="H229" s="156"/>
    </row>
    <row r="230" spans="1:8" ht="15.75" customHeight="1">
      <c r="A230" s="232"/>
      <c r="B230" s="230"/>
      <c r="C230" s="233"/>
      <c r="D230" s="230"/>
      <c r="E230" s="230"/>
      <c r="F230" s="230"/>
      <c r="G230" s="156"/>
      <c r="H230" s="156"/>
    </row>
    <row r="231" spans="1:8" ht="15.75" customHeight="1">
      <c r="A231" s="4" t="s">
        <v>1152</v>
      </c>
      <c r="B231" s="156"/>
      <c r="C231" s="215">
        <f>4*E229/(PI()*$E$122*$E$125)</f>
        <v>527774.2238976165</v>
      </c>
      <c r="D231" s="120" t="s">
        <v>1153</v>
      </c>
      <c r="E231"/>
      <c r="F231"/>
      <c r="G231" s="156"/>
      <c r="H231" s="156"/>
    </row>
    <row r="232" spans="1:8" ht="15.75" customHeight="1">
      <c r="A232"/>
      <c r="B232"/>
      <c r="C232" s="156"/>
      <c r="D232" s="120" t="s">
        <v>1154</v>
      </c>
      <c r="E232"/>
      <c r="F232"/>
      <c r="G232" s="156"/>
      <c r="H232" s="156"/>
    </row>
    <row r="233" spans="1:8" ht="15.75" customHeight="1">
      <c r="A233"/>
      <c r="B233"/>
      <c r="C233" s="156"/>
      <c r="D233" s="120" t="s">
        <v>1155</v>
      </c>
      <c r="E233"/>
      <c r="F233" s="234"/>
      <c r="G233" s="156"/>
      <c r="H233" s="156"/>
    </row>
    <row r="234" spans="1:8" ht="6" customHeight="1">
      <c r="A234" s="230"/>
      <c r="B234" s="230"/>
      <c r="C234" s="233"/>
      <c r="D234" s="230"/>
      <c r="E234" s="230"/>
      <c r="F234" s="230"/>
      <c r="G234" s="156"/>
      <c r="H234" s="156"/>
    </row>
    <row r="235" spans="1:8" ht="15.75" customHeight="1">
      <c r="A235" s="137" t="s">
        <v>1156</v>
      </c>
      <c r="B235"/>
      <c r="C235"/>
      <c r="D235"/>
      <c r="E235"/>
      <c r="F235"/>
      <c r="G235" s="156"/>
      <c r="H235" s="156"/>
    </row>
    <row r="236" spans="2:8" ht="6" customHeight="1">
      <c r="B236"/>
      <c r="C236"/>
      <c r="D236"/>
      <c r="E236"/>
      <c r="F236"/>
      <c r="G236" s="156"/>
      <c r="H236" s="156"/>
    </row>
    <row r="237" spans="1:8" ht="15.75" customHeight="1">
      <c r="A237" s="69" t="s">
        <v>2412</v>
      </c>
      <c r="B237"/>
      <c r="C237"/>
      <c r="D237"/>
      <c r="E237"/>
      <c r="F237" s="166">
        <f>1/SQRT(B239)+2*LOG10(2.51/(C231*SQRT(B239))+$B$155/3.71)</f>
        <v>0.00037097031703758887</v>
      </c>
      <c r="G237" s="125" t="s">
        <v>1641</v>
      </c>
      <c r="H237" s="156"/>
    </row>
    <row r="238" spans="1:8" ht="6" customHeight="1">
      <c r="A238"/>
      <c r="B238" s="235"/>
      <c r="C238" s="236"/>
      <c r="D238"/>
      <c r="E238"/>
      <c r="F238"/>
      <c r="G238" s="156"/>
      <c r="H238" s="156"/>
    </row>
    <row r="239" spans="1:8" ht="15.75" customHeight="1">
      <c r="A239" s="2" t="s">
        <v>2413</v>
      </c>
      <c r="B239" s="19">
        <v>0.020191506306510298</v>
      </c>
      <c r="C239" s="67"/>
      <c r="D239"/>
      <c r="E239" s="237"/>
      <c r="F239"/>
      <c r="G239" s="156"/>
      <c r="H239" s="156"/>
    </row>
    <row r="240" spans="1:8" ht="6" customHeight="1">
      <c r="A240"/>
      <c r="B240" s="238"/>
      <c r="C240" s="239"/>
      <c r="D240"/>
      <c r="E240" s="237"/>
      <c r="F240"/>
      <c r="G240" s="156"/>
      <c r="H240" s="156"/>
    </row>
    <row r="241" spans="1:8" ht="15.75" customHeight="1">
      <c r="A241" s="120" t="s">
        <v>1929</v>
      </c>
      <c r="B241"/>
      <c r="C241" s="156"/>
      <c r="E241" s="19">
        <f>+$B$153*SQRT(2*$H$122*($B$122-$B$123)/(0.5+B239*$B$125/$E$122+1))</f>
        <v>0.04090407681503541</v>
      </c>
      <c r="F241" s="69" t="s">
        <v>2374</v>
      </c>
      <c r="G241" s="156"/>
      <c r="H241" s="156"/>
    </row>
    <row r="242" spans="2:8" ht="15.75" customHeight="1">
      <c r="B242"/>
      <c r="C242" s="3"/>
      <c r="D242" s="69"/>
      <c r="E242"/>
      <c r="F242"/>
      <c r="G242" s="156"/>
      <c r="H242" s="156"/>
    </row>
    <row r="243" spans="1:8" ht="15.75" customHeight="1">
      <c r="A243" s="4" t="s">
        <v>1930</v>
      </c>
      <c r="B243" s="156"/>
      <c r="C243" s="215">
        <f>4*E241/(PI()*$E$122*$E$125)</f>
        <v>520806.8814178781</v>
      </c>
      <c r="D243" s="120" t="s">
        <v>1684</v>
      </c>
      <c r="E243"/>
      <c r="F243"/>
      <c r="G243" s="156"/>
      <c r="H243" s="156"/>
    </row>
    <row r="244" spans="1:8" ht="15.75" customHeight="1">
      <c r="A244" s="223"/>
      <c r="B244"/>
      <c r="C244" s="156"/>
      <c r="D244" s="120" t="s">
        <v>2414</v>
      </c>
      <c r="E244"/>
      <c r="F244"/>
      <c r="G244" s="156"/>
      <c r="H244" s="156"/>
    </row>
    <row r="245" spans="1:8" ht="15.75" customHeight="1">
      <c r="A245"/>
      <c r="B245"/>
      <c r="C245" s="156"/>
      <c r="D245" s="120" t="s">
        <v>1686</v>
      </c>
      <c r="E245"/>
      <c r="F245"/>
      <c r="G245" s="156"/>
      <c r="H245" s="156"/>
    </row>
    <row r="246" spans="1:8" ht="15.75" customHeight="1">
      <c r="A246"/>
      <c r="B246"/>
      <c r="C246" s="156"/>
      <c r="D246" s="120" t="s">
        <v>1687</v>
      </c>
      <c r="E246"/>
      <c r="F246"/>
      <c r="G246" s="156"/>
      <c r="H246" s="156"/>
    </row>
    <row r="247" spans="1:8" ht="6" customHeight="1">
      <c r="A247" s="240"/>
      <c r="B247" s="237"/>
      <c r="C247" s="241"/>
      <c r="D247" s="242"/>
      <c r="E247" s="237"/>
      <c r="F247" s="237"/>
      <c r="G247" s="156"/>
      <c r="H247" s="156"/>
    </row>
    <row r="248" spans="1:8" ht="15.75" customHeight="1">
      <c r="A248" s="137" t="s">
        <v>1688</v>
      </c>
      <c r="B248"/>
      <c r="C248"/>
      <c r="D248"/>
      <c r="E248"/>
      <c r="F248"/>
      <c r="G248" s="156"/>
      <c r="H248" s="156"/>
    </row>
    <row r="249" spans="2:8" ht="6" customHeight="1">
      <c r="B249"/>
      <c r="C249"/>
      <c r="D249"/>
      <c r="E249"/>
      <c r="F249"/>
      <c r="G249" s="156"/>
      <c r="H249" s="156"/>
    </row>
    <row r="250" spans="1:9" ht="15.75" customHeight="1">
      <c r="A250" s="69" t="s">
        <v>2415</v>
      </c>
      <c r="B250"/>
      <c r="C250"/>
      <c r="D250"/>
      <c r="E250"/>
      <c r="F250" s="138">
        <f>1/SQRT(B252)+2*LOG10(2.51/(C243*SQRT(B252))+$B$155/3.71)</f>
        <v>0.0003546819552013858</v>
      </c>
      <c r="G250" s="125" t="s">
        <v>1641</v>
      </c>
      <c r="H250"/>
      <c r="I250" s="242"/>
    </row>
    <row r="251" spans="1:8" ht="6" customHeight="1">
      <c r="A251"/>
      <c r="B251" s="235"/>
      <c r="C251" s="236"/>
      <c r="D251"/>
      <c r="E251"/>
      <c r="F251"/>
      <c r="G251" s="156"/>
      <c r="H251" s="156"/>
    </row>
    <row r="252" spans="1:8" ht="15.75" customHeight="1">
      <c r="A252" s="2" t="s">
        <v>2416</v>
      </c>
      <c r="B252" s="19">
        <v>0.020198859903982222</v>
      </c>
      <c r="E252" s="237"/>
      <c r="F252"/>
      <c r="G252" s="156"/>
      <c r="H252" s="156"/>
    </row>
    <row r="253" spans="1:8" ht="6" customHeight="1">
      <c r="A253"/>
      <c r="B253" s="238"/>
      <c r="C253" s="239"/>
      <c r="D253"/>
      <c r="E253" s="237"/>
      <c r="F253"/>
      <c r="G253" s="156"/>
      <c r="H253" s="156"/>
    </row>
    <row r="254" spans="1:8" ht="15.75" customHeight="1">
      <c r="A254" s="120" t="s">
        <v>1690</v>
      </c>
      <c r="B254"/>
      <c r="C254" s="156"/>
      <c r="E254" s="19">
        <f>+$B$153*SQRT(2*$H$122*($B$122-$B$123)/(0.5+B252*$B$125/$E$122+1))</f>
        <v>0.04089714516964911</v>
      </c>
      <c r="F254" s="69" t="s">
        <v>2374</v>
      </c>
      <c r="G254" s="156"/>
      <c r="H254" s="156"/>
    </row>
    <row r="255" spans="2:8" ht="6" customHeight="1">
      <c r="B255"/>
      <c r="C255" s="3"/>
      <c r="D255" s="69"/>
      <c r="E255"/>
      <c r="F255"/>
      <c r="G255" s="156"/>
      <c r="H255" s="156"/>
    </row>
    <row r="256" spans="1:8" ht="15.75" customHeight="1">
      <c r="A256" s="4" t="s">
        <v>1691</v>
      </c>
      <c r="B256" s="156"/>
      <c r="C256" s="215">
        <f>4*E254/(PI()*$E$122*$E$125)</f>
        <v>520718.6249677189</v>
      </c>
      <c r="D256" s="120" t="s">
        <v>1153</v>
      </c>
      <c r="E256"/>
      <c r="F256"/>
      <c r="G256" s="156"/>
      <c r="H256" s="156"/>
    </row>
    <row r="257" spans="1:8" ht="15.75" customHeight="1">
      <c r="A257" s="4"/>
      <c r="B257" s="156"/>
      <c r="C257" s="243"/>
      <c r="D257" s="120" t="s">
        <v>1692</v>
      </c>
      <c r="E257"/>
      <c r="F257"/>
      <c r="G257" s="156"/>
      <c r="H257" s="156"/>
    </row>
    <row r="258" spans="1:8" ht="15.75" customHeight="1">
      <c r="A258" s="4"/>
      <c r="B258" s="156"/>
      <c r="C258" s="243"/>
      <c r="D258" s="120" t="s">
        <v>1960</v>
      </c>
      <c r="E258"/>
      <c r="F258"/>
      <c r="G258" s="156"/>
      <c r="H258" s="156"/>
    </row>
    <row r="259" spans="1:8" ht="15.75" customHeight="1">
      <c r="A259" s="4"/>
      <c r="B259" s="156"/>
      <c r="C259" s="243"/>
      <c r="D259" s="120" t="s">
        <v>1961</v>
      </c>
      <c r="E259"/>
      <c r="F259"/>
      <c r="G259" s="156"/>
      <c r="H259" s="156"/>
    </row>
    <row r="260" spans="1:8" ht="6" customHeight="1">
      <c r="A260" s="223"/>
      <c r="B260"/>
      <c r="C260" s="137"/>
      <c r="D260"/>
      <c r="E260"/>
      <c r="F260"/>
      <c r="G260" s="156"/>
      <c r="H260" s="156"/>
    </row>
    <row r="261" spans="1:8" ht="15.75" customHeight="1">
      <c r="A261" s="137" t="s">
        <v>1962</v>
      </c>
      <c r="B261"/>
      <c r="C261"/>
      <c r="D261"/>
      <c r="E261"/>
      <c r="F261"/>
      <c r="G261" s="156"/>
      <c r="H261" s="156"/>
    </row>
    <row r="262" spans="2:8" ht="6" customHeight="1">
      <c r="B262"/>
      <c r="C262"/>
      <c r="D262"/>
      <c r="E262"/>
      <c r="F262"/>
      <c r="G262" s="156"/>
      <c r="H262" s="156"/>
    </row>
    <row r="263" spans="1:9" ht="15.75" customHeight="1">
      <c r="A263" s="69" t="s">
        <v>2417</v>
      </c>
      <c r="B263"/>
      <c r="C263"/>
      <c r="D263"/>
      <c r="E263"/>
      <c r="F263" s="138">
        <f>1/SQRT(B265)+2*LOG10(2.51/(C256*SQRT(B265))+$B$155/3.71)</f>
        <v>1.6781445886238089E-06</v>
      </c>
      <c r="G263" s="125" t="s">
        <v>1641</v>
      </c>
      <c r="H263"/>
      <c r="I263" s="242"/>
    </row>
    <row r="264" spans="1:8" ht="6" customHeight="1">
      <c r="A264"/>
      <c r="B264"/>
      <c r="C264" s="236"/>
      <c r="D264" s="242"/>
      <c r="E264" s="244"/>
      <c r="F264" s="244"/>
      <c r="G264" s="156"/>
      <c r="H264" s="156"/>
    </row>
    <row r="265" spans="1:8" ht="15.75" customHeight="1">
      <c r="A265" s="2" t="s">
        <v>2418</v>
      </c>
      <c r="B265" s="19">
        <v>0.02020095239935329</v>
      </c>
      <c r="C265" s="67"/>
      <c r="D265"/>
      <c r="E265" s="244"/>
      <c r="F265" s="59"/>
      <c r="G265" s="156"/>
      <c r="H265" s="156"/>
    </row>
    <row r="266" spans="1:8" ht="6" customHeight="1">
      <c r="A266"/>
      <c r="B266" s="238"/>
      <c r="C266" s="239"/>
      <c r="D266"/>
      <c r="E266" s="244"/>
      <c r="F266" s="244"/>
      <c r="G266" s="156"/>
      <c r="H266" s="156"/>
    </row>
    <row r="267" spans="1:8" ht="15.75" customHeight="1">
      <c r="A267" s="74" t="s">
        <v>1964</v>
      </c>
      <c r="B267" s="203"/>
      <c r="C267" s="171"/>
      <c r="D267" s="74"/>
      <c r="E267" s="224">
        <f>+$B$153*SQRT(2*$H$122*($B$122-$B$123)/(0.5+B265*$B$125/$E$122+1))</f>
        <v>0.04089517338637421</v>
      </c>
      <c r="F267" s="161" t="s">
        <v>2374</v>
      </c>
      <c r="G267" s="156"/>
      <c r="H267" s="156"/>
    </row>
    <row r="268" spans="2:8" ht="6" customHeight="1">
      <c r="B268"/>
      <c r="C268" s="3"/>
      <c r="D268" s="69"/>
      <c r="E268" s="244"/>
      <c r="F268" s="244"/>
      <c r="G268" s="156"/>
      <c r="H268" s="156"/>
    </row>
    <row r="269" spans="1:8" ht="15.75" customHeight="1">
      <c r="A269" s="4" t="s">
        <v>1965</v>
      </c>
      <c r="B269" s="156"/>
      <c r="C269" s="215">
        <f>4*E267/(PI()*$E$122*$E$125)</f>
        <v>520693.5194433264</v>
      </c>
      <c r="D269" s="120" t="s">
        <v>1153</v>
      </c>
      <c r="E269" s="244"/>
      <c r="F269" s="244"/>
      <c r="G269" s="156"/>
      <c r="H269" s="156"/>
    </row>
    <row r="270" spans="1:8" ht="15.75" customHeight="1">
      <c r="A270" s="245"/>
      <c r="B270" s="244"/>
      <c r="C270" s="156"/>
      <c r="D270" s="137" t="s">
        <v>2419</v>
      </c>
      <c r="E270" s="244"/>
      <c r="F270" s="244"/>
      <c r="G270" s="156"/>
      <c r="H270" s="156"/>
    </row>
    <row r="271" spans="1:8" ht="15.75" customHeight="1">
      <c r="A271" s="245"/>
      <c r="B271" s="244"/>
      <c r="C271" s="156"/>
      <c r="D271" s="137" t="s">
        <v>2420</v>
      </c>
      <c r="E271" s="244"/>
      <c r="F271" s="244"/>
      <c r="G271" s="156"/>
      <c r="H271" s="156"/>
    </row>
    <row r="272" spans="1:8" ht="6" customHeight="1">
      <c r="A272" s="244"/>
      <c r="B272" s="244"/>
      <c r="C272" s="246"/>
      <c r="D272" s="244"/>
      <c r="E272" s="244"/>
      <c r="F272" s="244"/>
      <c r="G272" s="156"/>
      <c r="H272" s="156"/>
    </row>
    <row r="273" spans="1:8" ht="15.75" customHeight="1">
      <c r="A273" s="120" t="s">
        <v>2421</v>
      </c>
      <c r="C273" s="1"/>
      <c r="G273" s="156"/>
      <c r="H273" s="156"/>
    </row>
    <row r="274" spans="3:8" ht="6" customHeight="1">
      <c r="C274" s="1"/>
      <c r="G274" s="156"/>
      <c r="H274" s="156"/>
    </row>
    <row r="275" spans="1:8" ht="15.75" customHeight="1">
      <c r="A275" s="120" t="s">
        <v>2132</v>
      </c>
      <c r="B275"/>
      <c r="C275" s="156"/>
      <c r="E275" s="247">
        <f>+ABS(C193-C269)/C269</f>
        <v>0.006487200863542828</v>
      </c>
      <c r="G275" s="156"/>
      <c r="H275" s="156"/>
    </row>
    <row r="276" spans="3:8" ht="6" customHeight="1">
      <c r="C276" s="1"/>
      <c r="G276" s="156"/>
      <c r="H276" s="156"/>
    </row>
    <row r="277" spans="1:8" ht="15.75" customHeight="1">
      <c r="A277" s="120" t="s">
        <v>2133</v>
      </c>
      <c r="B277"/>
      <c r="C277" s="156"/>
      <c r="E277" s="247">
        <f>+ABS(E191-E267)/E267</f>
        <v>0.006487200863542828</v>
      </c>
      <c r="F277" s="234"/>
      <c r="G277" s="156"/>
      <c r="H277" s="156"/>
    </row>
    <row r="278" spans="2:8" ht="15.75" customHeight="1">
      <c r="B278"/>
      <c r="C278" s="156"/>
      <c r="E278" s="247"/>
      <c r="F278" s="234"/>
      <c r="G278" s="156"/>
      <c r="H278" s="156"/>
    </row>
    <row r="279" spans="1:8" ht="15.75" customHeight="1">
      <c r="A279" s="120" t="s">
        <v>2178</v>
      </c>
      <c r="B279"/>
      <c r="C279" s="156"/>
      <c r="E279" s="247"/>
      <c r="F279" s="234"/>
      <c r="G279" s="156"/>
      <c r="H279" s="156"/>
    </row>
    <row r="280" spans="1:8" ht="15.75" customHeight="1">
      <c r="A280" s="120" t="s">
        <v>2179</v>
      </c>
      <c r="B280"/>
      <c r="C280" s="156"/>
      <c r="E280" s="247"/>
      <c r="F280" s="234"/>
      <c r="G280" s="156"/>
      <c r="H280" s="156"/>
    </row>
    <row r="281" spans="2:8" ht="15.75" customHeight="1">
      <c r="B281"/>
      <c r="C281" s="156"/>
      <c r="E281" s="247"/>
      <c r="F281" s="234"/>
      <c r="G281" s="156"/>
      <c r="H281" s="156"/>
    </row>
    <row r="282" spans="1:8" ht="15.75" customHeight="1">
      <c r="A282" s="333"/>
      <c r="B282"/>
      <c r="C282" s="156"/>
      <c r="E282" s="247"/>
      <c r="F282" s="234"/>
      <c r="G282" s="156"/>
      <c r="H282" s="156"/>
    </row>
    <row r="283" spans="1:8" ht="15.75" customHeight="1">
      <c r="A283" s="333"/>
      <c r="B283"/>
      <c r="C283" s="156"/>
      <c r="E283" s="247"/>
      <c r="F283" s="234"/>
      <c r="G283" s="156"/>
      <c r="H283" s="156"/>
    </row>
    <row r="284" spans="1:8" ht="15.75" customHeight="1">
      <c r="A284" s="333"/>
      <c r="B284"/>
      <c r="C284" s="156"/>
      <c r="E284" s="247"/>
      <c r="F284" s="234"/>
      <c r="G284" s="156"/>
      <c r="H284" s="156"/>
    </row>
    <row r="285" spans="1:8" ht="15.75" customHeight="1">
      <c r="A285" s="135"/>
      <c r="B285"/>
      <c r="C285" s="156"/>
      <c r="E285" s="247"/>
      <c r="F285" s="234"/>
      <c r="G285" s="156"/>
      <c r="H285" s="156"/>
    </row>
    <row r="286" spans="1:8" ht="15.75" customHeight="1">
      <c r="A286" s="135"/>
      <c r="B286"/>
      <c r="C286" s="156"/>
      <c r="E286" s="247"/>
      <c r="F286" s="234"/>
      <c r="G286" s="156"/>
      <c r="H286" s="156"/>
    </row>
    <row r="287" spans="1:8" ht="15.75" customHeight="1">
      <c r="A287" s="120" t="s">
        <v>2180</v>
      </c>
      <c r="B287"/>
      <c r="C287" s="156"/>
      <c r="E287" s="247"/>
      <c r="F287" s="234"/>
      <c r="G287" s="156"/>
      <c r="H287" s="156"/>
    </row>
    <row r="288" spans="2:8" ht="6" customHeight="1">
      <c r="B288"/>
      <c r="C288" s="156"/>
      <c r="E288" s="247"/>
      <c r="F288" s="234"/>
      <c r="G288" s="156"/>
      <c r="H288" s="156"/>
    </row>
    <row r="289" spans="1:8" ht="15.75" customHeight="1">
      <c r="A289" s="137" t="s">
        <v>2181</v>
      </c>
      <c r="B289"/>
      <c r="C289" s="138">
        <f>+$B$122-$B$123-0.5*(C290^2)/(2*$H$122*($B$153^2))-(1/4)*(LOG10(3.71/($E$123/$E$122)))^(-2)*(1+8/(4*C290/(PI()*$E$122*$E$125)*($E$123/$E$122)))*(C290^2)/(2*$H$122*($B$153^2)*$E$122)*$B$125-(C290^2)/(2*$H$122*($B$153^2))</f>
        <v>2.9678382618136823E-07</v>
      </c>
      <c r="E289" s="247"/>
      <c r="F289" s="234"/>
      <c r="G289" s="156"/>
      <c r="H289" s="156"/>
    </row>
    <row r="290" spans="1:8" ht="15.75" customHeight="1">
      <c r="A290" s="9" t="s">
        <v>2182</v>
      </c>
      <c r="B290" s="74"/>
      <c r="C290" s="224">
        <v>0.041160468286762286</v>
      </c>
      <c r="D290" s="161" t="s">
        <v>2374</v>
      </c>
      <c r="E290" s="247"/>
      <c r="F290" s="234"/>
      <c r="G290" s="156"/>
      <c r="H290" s="156"/>
    </row>
    <row r="291" spans="2:8" ht="6" customHeight="1">
      <c r="B291"/>
      <c r="C291" s="156"/>
      <c r="E291" s="247"/>
      <c r="F291" s="234"/>
      <c r="G291" s="156"/>
      <c r="H291" s="156"/>
    </row>
    <row r="292" spans="1:8" ht="15.75" customHeight="1">
      <c r="A292" s="120" t="s">
        <v>2183</v>
      </c>
      <c r="B292"/>
      <c r="C292" s="156"/>
      <c r="E292" s="247"/>
      <c r="F292" s="234"/>
      <c r="G292" s="156"/>
      <c r="H292" s="156"/>
    </row>
    <row r="293" ht="6" customHeight="1"/>
    <row r="294" spans="1:9" ht="6" customHeight="1">
      <c r="A294" s="131"/>
      <c r="B294" s="131"/>
      <c r="C294" s="131"/>
      <c r="D294" s="131"/>
      <c r="E294" s="131"/>
      <c r="F294" s="131"/>
      <c r="G294" s="131"/>
      <c r="H294" s="131"/>
      <c r="I294" s="131"/>
    </row>
    <row r="295" ht="6" customHeight="1"/>
    <row r="296" ht="15.75" customHeight="1">
      <c r="A296" s="85" t="s">
        <v>2134</v>
      </c>
    </row>
    <row r="297" ht="6" customHeight="1">
      <c r="A297" s="1"/>
    </row>
    <row r="298" ht="15.75" customHeight="1">
      <c r="A298" s="5" t="s">
        <v>112</v>
      </c>
    </row>
    <row r="299" ht="6" customHeight="1"/>
    <row r="300" spans="1:9" ht="15.75" customHeight="1">
      <c r="A300" s="2" t="s">
        <v>1017</v>
      </c>
      <c r="B300" s="1">
        <v>9806</v>
      </c>
      <c r="C300" s="28" t="s">
        <v>713</v>
      </c>
      <c r="D300" s="1" t="s">
        <v>2515</v>
      </c>
      <c r="E300" s="3">
        <v>0.5</v>
      </c>
      <c r="F300" s="4" t="s">
        <v>699</v>
      </c>
      <c r="G300" s="1" t="s">
        <v>1017</v>
      </c>
      <c r="H300" s="1">
        <v>9.806</v>
      </c>
      <c r="I300" s="28" t="s">
        <v>1018</v>
      </c>
    </row>
    <row r="301" spans="1:9" ht="15.75" customHeight="1">
      <c r="A301" s="2" t="s">
        <v>709</v>
      </c>
      <c r="B301" s="215">
        <v>1E-06</v>
      </c>
      <c r="C301" s="28" t="s">
        <v>893</v>
      </c>
      <c r="D301" s="1" t="s">
        <v>2516</v>
      </c>
      <c r="E301" s="3">
        <v>0.3</v>
      </c>
      <c r="F301" s="4" t="s">
        <v>699</v>
      </c>
      <c r="G301" s="2" t="s">
        <v>2297</v>
      </c>
      <c r="H301" s="3">
        <v>0.3</v>
      </c>
      <c r="I301" s="4" t="s">
        <v>699</v>
      </c>
    </row>
    <row r="302" spans="1:9" ht="15.75" customHeight="1">
      <c r="A302" s="2" t="s">
        <v>2385</v>
      </c>
      <c r="B302" s="1">
        <v>133362</v>
      </c>
      <c r="C302" s="28" t="s">
        <v>713</v>
      </c>
      <c r="D302" s="1" t="s">
        <v>882</v>
      </c>
      <c r="E302" s="3">
        <v>0.6</v>
      </c>
      <c r="F302" s="4" t="s">
        <v>699</v>
      </c>
      <c r="G302" s="75" t="s">
        <v>710</v>
      </c>
      <c r="H302" s="3">
        <v>30</v>
      </c>
      <c r="I302" s="4" t="s">
        <v>699</v>
      </c>
    </row>
    <row r="303" spans="1:8" ht="15.75" customHeight="1">
      <c r="A303" s="1" t="s">
        <v>2135</v>
      </c>
      <c r="B303" s="3">
        <v>50</v>
      </c>
      <c r="C303" s="4" t="s">
        <v>2334</v>
      </c>
      <c r="D303" s="107" t="s">
        <v>895</v>
      </c>
      <c r="E303" s="1">
        <v>0.005</v>
      </c>
      <c r="F303" s="120" t="s">
        <v>699</v>
      </c>
      <c r="G303" s="16" t="s">
        <v>714</v>
      </c>
      <c r="H303" s="12">
        <v>1</v>
      </c>
    </row>
    <row r="304" spans="1:8" ht="15.75" customHeight="1">
      <c r="A304" s="1" t="s">
        <v>2136</v>
      </c>
      <c r="B304" s="3">
        <v>40</v>
      </c>
      <c r="C304" s="4" t="s">
        <v>699</v>
      </c>
      <c r="D304" s="2" t="s">
        <v>896</v>
      </c>
      <c r="E304" s="1">
        <v>0.009</v>
      </c>
      <c r="F304" s="4" t="s">
        <v>2137</v>
      </c>
      <c r="G304" s="1" t="s">
        <v>1727</v>
      </c>
      <c r="H304" s="1">
        <v>0.61</v>
      </c>
    </row>
    <row r="305" spans="1:8" ht="15.75" customHeight="1">
      <c r="A305" s="1" t="s">
        <v>892</v>
      </c>
      <c r="B305" s="3">
        <v>300</v>
      </c>
      <c r="C305" s="4" t="s">
        <v>699</v>
      </c>
      <c r="D305" s="2" t="s">
        <v>2138</v>
      </c>
      <c r="E305" s="1">
        <v>0.009</v>
      </c>
      <c r="F305" s="4" t="s">
        <v>2139</v>
      </c>
      <c r="G305" s="156"/>
      <c r="H305" s="156"/>
    </row>
    <row r="306" spans="1:8" ht="15.75" customHeight="1">
      <c r="A306" s="1" t="s">
        <v>894</v>
      </c>
      <c r="B306" s="3">
        <v>150</v>
      </c>
      <c r="C306" s="4" t="s">
        <v>699</v>
      </c>
      <c r="D306" s="120" t="s">
        <v>1174</v>
      </c>
      <c r="G306" s="156"/>
      <c r="H306" s="156"/>
    </row>
    <row r="307" spans="1:8" ht="15.75" customHeight="1">
      <c r="A307" s="1" t="s">
        <v>1175</v>
      </c>
      <c r="B307" s="3">
        <v>150</v>
      </c>
      <c r="C307" s="4" t="s">
        <v>699</v>
      </c>
      <c r="D307" s="120" t="s">
        <v>1176</v>
      </c>
      <c r="G307" s="156"/>
      <c r="H307" s="3"/>
    </row>
    <row r="308" spans="1:8" ht="6" customHeight="1">
      <c r="A308" s="248"/>
      <c r="B308" s="248"/>
      <c r="C308" s="249"/>
      <c r="D308" s="248"/>
      <c r="E308" s="248"/>
      <c r="F308" s="249"/>
      <c r="G308" s="248"/>
      <c r="H308" s="248"/>
    </row>
    <row r="309" spans="1:8" ht="15.75" customHeight="1">
      <c r="A309" s="5" t="s">
        <v>1177</v>
      </c>
      <c r="B309" s="248"/>
      <c r="C309" s="249"/>
      <c r="D309" s="248"/>
      <c r="E309" s="248"/>
      <c r="F309" s="249"/>
      <c r="G309" s="248"/>
      <c r="H309" s="248"/>
    </row>
    <row r="310" spans="1:8" ht="6" customHeight="1">
      <c r="A310" s="248"/>
      <c r="B310" s="248"/>
      <c r="C310" s="249"/>
      <c r="D310" s="248"/>
      <c r="E310" s="248"/>
      <c r="F310" s="249"/>
      <c r="G310" s="248"/>
      <c r="H310" s="248"/>
    </row>
    <row r="311" spans="1:8" ht="15.75" customHeight="1">
      <c r="A311" s="5" t="s">
        <v>113</v>
      </c>
      <c r="B311" s="248"/>
      <c r="C311" s="249"/>
      <c r="D311" s="248"/>
      <c r="E311" s="248"/>
      <c r="F311" s="249"/>
      <c r="G311" s="248"/>
      <c r="H311" s="248"/>
    </row>
    <row r="312" spans="1:8" ht="6" customHeight="1">
      <c r="A312" s="248"/>
      <c r="B312" s="248"/>
      <c r="C312" s="249"/>
      <c r="D312" s="248"/>
      <c r="E312" s="248"/>
      <c r="F312" s="249"/>
      <c r="G312" s="248"/>
      <c r="H312" s="248"/>
    </row>
    <row r="313" spans="1:8" ht="15.75" customHeight="1">
      <c r="A313" s="65" t="s">
        <v>1178</v>
      </c>
      <c r="B313"/>
      <c r="C313"/>
      <c r="D313"/>
      <c r="E313" s="250"/>
      <c r="F313"/>
      <c r="G313"/>
      <c r="H313"/>
    </row>
    <row r="314" spans="1:8" ht="6" customHeight="1">
      <c r="A314" s="250"/>
      <c r="B314"/>
      <c r="C314"/>
      <c r="D314"/>
      <c r="E314"/>
      <c r="F314"/>
      <c r="G314"/>
      <c r="H314"/>
    </row>
    <row r="315" spans="1:8" ht="15.75" customHeight="1">
      <c r="A315" s="120" t="s">
        <v>1179</v>
      </c>
      <c r="B315" s="137"/>
      <c r="C315" s="137"/>
      <c r="D315" s="137"/>
      <c r="E315" s="137"/>
      <c r="F315" s="137"/>
      <c r="G315" s="137"/>
      <c r="H315" s="137"/>
    </row>
    <row r="316" spans="1:8" ht="15.75" customHeight="1">
      <c r="A316" s="120" t="s">
        <v>1180</v>
      </c>
      <c r="B316"/>
      <c r="C316"/>
      <c r="D316"/>
      <c r="E316"/>
      <c r="F316"/>
      <c r="G316"/>
      <c r="H316"/>
    </row>
    <row r="317" spans="1:8" ht="15.75" customHeight="1">
      <c r="A317" s="120" t="s">
        <v>1181</v>
      </c>
      <c r="B317"/>
      <c r="C317"/>
      <c r="D317"/>
      <c r="E317"/>
      <c r="F317"/>
      <c r="G317"/>
      <c r="H317"/>
    </row>
    <row r="318" spans="1:8" ht="6" customHeight="1">
      <c r="A318" s="137"/>
      <c r="B318"/>
      <c r="C318"/>
      <c r="D318"/>
      <c r="E318"/>
      <c r="F318"/>
      <c r="G318"/>
      <c r="H318"/>
    </row>
    <row r="319" spans="1:8" ht="15.75" customHeight="1">
      <c r="A319" s="120" t="s">
        <v>1182</v>
      </c>
      <c r="B319"/>
      <c r="C319"/>
      <c r="D319"/>
      <c r="E319"/>
      <c r="F319"/>
      <c r="G319"/>
      <c r="H319"/>
    </row>
    <row r="320" spans="1:8" ht="6" customHeight="1">
      <c r="A320" s="250"/>
      <c r="B320"/>
      <c r="C320"/>
      <c r="D320"/>
      <c r="E320"/>
      <c r="F320"/>
      <c r="G320"/>
      <c r="H320"/>
    </row>
    <row r="321" spans="1:8" ht="15.75" customHeight="1">
      <c r="A321" s="69" t="s">
        <v>1183</v>
      </c>
      <c r="C321"/>
      <c r="D321"/>
      <c r="F321" s="137" t="s">
        <v>1184</v>
      </c>
      <c r="G321" s="156"/>
      <c r="H321"/>
    </row>
    <row r="322" spans="1:8" ht="15.75" customHeight="1">
      <c r="A322" s="250"/>
      <c r="B322"/>
      <c r="C322"/>
      <c r="D322"/>
      <c r="F322" s="137" t="s">
        <v>1185</v>
      </c>
      <c r="G322" s="156"/>
      <c r="H322"/>
    </row>
    <row r="323" spans="1:8" ht="15.75" customHeight="1">
      <c r="A323" s="120" t="s">
        <v>1186</v>
      </c>
      <c r="B323" s="137"/>
      <c r="C323" s="137"/>
      <c r="D323" s="137"/>
      <c r="E323" s="137"/>
      <c r="F323" s="137"/>
      <c r="G323" s="137"/>
      <c r="H323" s="137"/>
    </row>
    <row r="324" spans="1:8" ht="6" customHeight="1">
      <c r="A324" s="250"/>
      <c r="B324"/>
      <c r="C324"/>
      <c r="D324"/>
      <c r="E324"/>
      <c r="F324"/>
      <c r="G324"/>
      <c r="H324"/>
    </row>
    <row r="325" spans="1:8" ht="15.75" customHeight="1">
      <c r="A325" s="137"/>
      <c r="B325" s="69" t="s">
        <v>1187</v>
      </c>
      <c r="C325" s="156"/>
      <c r="D325" s="156"/>
      <c r="E325" s="137"/>
      <c r="F325" s="137"/>
      <c r="G325" s="137"/>
      <c r="H325" s="137"/>
    </row>
    <row r="326" spans="1:8" ht="6" customHeight="1">
      <c r="A326" s="250"/>
      <c r="B326"/>
      <c r="C326"/>
      <c r="D326"/>
      <c r="E326"/>
      <c r="F326"/>
      <c r="G326"/>
      <c r="H326"/>
    </row>
    <row r="327" spans="1:8" ht="15.75" customHeight="1">
      <c r="A327" s="120" t="s">
        <v>1188</v>
      </c>
      <c r="B327" s="137"/>
      <c r="C327" s="137"/>
      <c r="D327" s="137"/>
      <c r="E327" s="137"/>
      <c r="F327" s="137"/>
      <c r="G327" s="137"/>
      <c r="H327" s="137"/>
    </row>
    <row r="328" spans="1:8" ht="6" customHeight="1">
      <c r="A328" s="250"/>
      <c r="B328"/>
      <c r="C328"/>
      <c r="D328"/>
      <c r="E328"/>
      <c r="F328"/>
      <c r="G328"/>
      <c r="H328"/>
    </row>
    <row r="329" spans="1:8" ht="15.75" customHeight="1">
      <c r="A329" s="223" t="s">
        <v>1189</v>
      </c>
      <c r="B329"/>
      <c r="C329" s="3">
        <f>+(B302-B300)/B300*H301</f>
        <v>3.78001223740567</v>
      </c>
      <c r="D329" s="4" t="s">
        <v>699</v>
      </c>
      <c r="E329" s="120" t="s">
        <v>1190</v>
      </c>
      <c r="F329" s="69" t="s">
        <v>1191</v>
      </c>
      <c r="G329" s="156"/>
      <c r="H329" s="3">
        <f>+C329/H302</f>
        <v>0.12600040791352232</v>
      </c>
    </row>
    <row r="330" spans="1:8" ht="6" customHeight="1">
      <c r="A330" s="250"/>
      <c r="B330"/>
      <c r="C330"/>
      <c r="D330"/>
      <c r="E330"/>
      <c r="F330"/>
      <c r="G330"/>
      <c r="H330"/>
    </row>
    <row r="331" spans="1:8" ht="15.75" customHeight="1">
      <c r="A331" s="14" t="s">
        <v>1192</v>
      </c>
      <c r="B331"/>
      <c r="C331"/>
      <c r="D331"/>
      <c r="E331"/>
      <c r="F331"/>
      <c r="G331"/>
      <c r="H331"/>
    </row>
    <row r="332" spans="1:8" ht="15.75" customHeight="1">
      <c r="A332" s="14" t="s">
        <v>1193</v>
      </c>
      <c r="B332"/>
      <c r="C332"/>
      <c r="D332"/>
      <c r="E332"/>
      <c r="F332"/>
      <c r="G332"/>
      <c r="H332"/>
    </row>
    <row r="333" spans="1:8" ht="6" customHeight="1">
      <c r="A333" s="223"/>
      <c r="B333"/>
      <c r="C333" s="251"/>
      <c r="D333" s="248"/>
      <c r="E333"/>
      <c r="F333"/>
      <c r="G333"/>
      <c r="H333" s="251"/>
    </row>
    <row r="334" spans="1:8" ht="15.75" customHeight="1">
      <c r="A334" s="223"/>
      <c r="B334"/>
      <c r="C334" s="5" t="s">
        <v>1194</v>
      </c>
      <c r="D334"/>
      <c r="E334"/>
      <c r="F334"/>
      <c r="G334"/>
      <c r="H334" s="251"/>
    </row>
    <row r="335" spans="1:8" ht="6" customHeight="1">
      <c r="A335" s="223"/>
      <c r="B335"/>
      <c r="C335" s="251"/>
      <c r="D335" s="252"/>
      <c r="E335"/>
      <c r="F335"/>
      <c r="G335"/>
      <c r="H335" s="251"/>
    </row>
    <row r="336" spans="1:8" ht="15.75" customHeight="1">
      <c r="A336" s="117" t="s">
        <v>1195</v>
      </c>
      <c r="B336"/>
      <c r="C336"/>
      <c r="D336" s="12" t="s">
        <v>1915</v>
      </c>
      <c r="E336" s="117" t="s">
        <v>1196</v>
      </c>
      <c r="F336" s="156"/>
      <c r="G336"/>
      <c r="H336"/>
    </row>
    <row r="337" spans="1:8" ht="6" customHeight="1">
      <c r="A337" s="164"/>
      <c r="B337"/>
      <c r="C337"/>
      <c r="D337" s="169"/>
      <c r="E337"/>
      <c r="F337"/>
      <c r="G337"/>
      <c r="H337"/>
    </row>
    <row r="338" spans="1:8" ht="15.75" customHeight="1">
      <c r="A338" s="14" t="s">
        <v>1197</v>
      </c>
      <c r="B338"/>
      <c r="C338"/>
      <c r="D338"/>
      <c r="E338"/>
      <c r="F338"/>
      <c r="G338"/>
      <c r="H338"/>
    </row>
    <row r="339" spans="1:8" ht="15.75" customHeight="1">
      <c r="A339" s="14" t="s">
        <v>1198</v>
      </c>
      <c r="B339"/>
      <c r="C339"/>
      <c r="D339"/>
      <c r="E339"/>
      <c r="F339"/>
      <c r="G339"/>
      <c r="H339"/>
    </row>
    <row r="340" spans="1:8" ht="15.75" customHeight="1">
      <c r="A340" s="14" t="s">
        <v>1199</v>
      </c>
      <c r="B340"/>
      <c r="C340"/>
      <c r="D340"/>
      <c r="E340"/>
      <c r="F340"/>
      <c r="G340"/>
      <c r="H340"/>
    </row>
    <row r="341" spans="1:8" ht="15.75" customHeight="1">
      <c r="A341" s="84" t="s">
        <v>1200</v>
      </c>
      <c r="B341"/>
      <c r="C341"/>
      <c r="D341"/>
      <c r="E341"/>
      <c r="F341"/>
      <c r="G341"/>
      <c r="H341"/>
    </row>
    <row r="342" spans="1:8" ht="15.75" customHeight="1">
      <c r="A342" s="14" t="s">
        <v>1201</v>
      </c>
      <c r="B342"/>
      <c r="C342"/>
      <c r="D342"/>
      <c r="E342"/>
      <c r="F342"/>
      <c r="G342" s="1"/>
      <c r="H342"/>
    </row>
    <row r="343" spans="1:8" ht="15.75" customHeight="1">
      <c r="A343" s="84" t="s">
        <v>1202</v>
      </c>
      <c r="B343"/>
      <c r="C343"/>
      <c r="D343"/>
      <c r="E343"/>
      <c r="F343"/>
      <c r="G343"/>
      <c r="H343"/>
    </row>
    <row r="344" spans="1:8" ht="6" customHeight="1">
      <c r="A344" s="164"/>
      <c r="B344"/>
      <c r="C344"/>
      <c r="D344" s="169"/>
      <c r="E344"/>
      <c r="F344"/>
      <c r="G344"/>
      <c r="H344"/>
    </row>
    <row r="345" spans="1:8" ht="15.75" customHeight="1">
      <c r="A345" s="4" t="s">
        <v>1203</v>
      </c>
      <c r="B345"/>
      <c r="C345"/>
      <c r="E345" s="253">
        <f>+E300*SQRT(2*H300*H329*E300)/B301</f>
        <v>555778.7329504432</v>
      </c>
      <c r="F345" s="84" t="s">
        <v>1707</v>
      </c>
      <c r="G345"/>
      <c r="H345"/>
    </row>
    <row r="346" spans="1:8" ht="6" customHeight="1">
      <c r="A346" s="4"/>
      <c r="B346"/>
      <c r="C346"/>
      <c r="D346" s="253"/>
      <c r="E346" s="84"/>
      <c r="F346" s="254"/>
      <c r="G346"/>
      <c r="H346"/>
    </row>
    <row r="347" spans="2:8" ht="15.75" customHeight="1">
      <c r="B347" s="2" t="s">
        <v>1204</v>
      </c>
      <c r="C347" s="1">
        <f>+E303/E300</f>
        <v>0.01</v>
      </c>
      <c r="D347"/>
      <c r="E347"/>
      <c r="F347"/>
      <c r="G347"/>
      <c r="H347"/>
    </row>
    <row r="348" spans="1:8" ht="6" customHeight="1">
      <c r="A348" s="2"/>
      <c r="B348" s="1"/>
      <c r="C348"/>
      <c r="D348"/>
      <c r="E348"/>
      <c r="F348"/>
      <c r="G348"/>
      <c r="H348"/>
    </row>
    <row r="349" spans="1:8" ht="15.75" customHeight="1">
      <c r="A349" s="14" t="s">
        <v>1205</v>
      </c>
      <c r="B349" s="1"/>
      <c r="C349"/>
      <c r="D349"/>
      <c r="E349"/>
      <c r="F349"/>
      <c r="G349"/>
      <c r="H349"/>
    </row>
    <row r="350" spans="1:8" ht="15.75" customHeight="1">
      <c r="A350" s="2"/>
      <c r="B350" s="1"/>
      <c r="C350"/>
      <c r="D350"/>
      <c r="E350"/>
      <c r="F350"/>
      <c r="G350"/>
      <c r="H350"/>
    </row>
    <row r="351" spans="1:8" ht="15.75" customHeight="1">
      <c r="A351" s="223" t="s">
        <v>1206</v>
      </c>
      <c r="B351"/>
      <c r="C351"/>
      <c r="D351"/>
      <c r="G351" s="19">
        <f>+(-2*LOG10(2.51/(E345)+C347/3.71))^(-2)</f>
        <v>0.037890576034163105</v>
      </c>
      <c r="H351"/>
    </row>
    <row r="352" spans="1:8" ht="6" customHeight="1">
      <c r="A352" s="223"/>
      <c r="B352"/>
      <c r="C352"/>
      <c r="D352"/>
      <c r="E352" s="3"/>
      <c r="F352"/>
      <c r="G352"/>
      <c r="H352"/>
    </row>
    <row r="353" spans="1:8" ht="15.75" customHeight="1">
      <c r="A353" s="14" t="s">
        <v>1207</v>
      </c>
      <c r="B353" s="156"/>
      <c r="C353" s="69" t="s">
        <v>1362</v>
      </c>
      <c r="E353" s="3">
        <f>+PI()*E300^2/4</f>
        <v>0.19634954084936207</v>
      </c>
      <c r="F353" s="28" t="s">
        <v>108</v>
      </c>
      <c r="G353"/>
      <c r="H353"/>
    </row>
    <row r="354" spans="1:8" ht="6" customHeight="1">
      <c r="A354" s="84"/>
      <c r="B354" s="69"/>
      <c r="C354" s="3"/>
      <c r="D354" s="28"/>
      <c r="E354" s="84"/>
      <c r="F354"/>
      <c r="G354"/>
      <c r="H354"/>
    </row>
    <row r="355" spans="1:8" ht="15.75" customHeight="1">
      <c r="A355" s="14" t="s">
        <v>1208</v>
      </c>
      <c r="B355" s="69"/>
      <c r="C355" s="3"/>
      <c r="D355" s="28"/>
      <c r="E355" s="84"/>
      <c r="F355"/>
      <c r="G355"/>
      <c r="H355"/>
    </row>
    <row r="356" spans="1:8" ht="6" customHeight="1">
      <c r="A356" s="223"/>
      <c r="B356"/>
      <c r="C356"/>
      <c r="D356"/>
      <c r="E356" s="3"/>
      <c r="F356"/>
      <c r="G356"/>
      <c r="H356"/>
    </row>
    <row r="357" spans="1:8" ht="15.75" customHeight="1">
      <c r="A357" s="223"/>
      <c r="B357" s="69" t="s">
        <v>1209</v>
      </c>
      <c r="C357"/>
      <c r="D357"/>
      <c r="E357" s="14" t="s">
        <v>1210</v>
      </c>
      <c r="F357"/>
      <c r="G357"/>
      <c r="H357"/>
    </row>
    <row r="358" spans="1:8" ht="6" customHeight="1">
      <c r="A358"/>
      <c r="B358"/>
      <c r="C358"/>
      <c r="D358"/>
      <c r="E358"/>
      <c r="F358"/>
      <c r="G358"/>
      <c r="H358"/>
    </row>
    <row r="359" spans="1:8" ht="15.75" customHeight="1">
      <c r="A359"/>
      <c r="B359" s="156"/>
      <c r="C359" s="74" t="s">
        <v>1211</v>
      </c>
      <c r="D359" s="203"/>
      <c r="E359" s="74"/>
      <c r="F359" s="153">
        <f>+E353*SQRT(2*H300*E300*H329/G351)</f>
        <v>1.1212338643782662</v>
      </c>
      <c r="G359" s="161" t="s">
        <v>2374</v>
      </c>
      <c r="H359" s="84"/>
    </row>
    <row r="360" spans="1:8" ht="6" customHeight="1">
      <c r="A360"/>
      <c r="C360"/>
      <c r="D360"/>
      <c r="E360" s="255"/>
      <c r="F360" s="69"/>
      <c r="G360" s="84"/>
      <c r="H360" s="84"/>
    </row>
    <row r="361" spans="1:8" ht="15.75" customHeight="1">
      <c r="A361" s="14" t="s">
        <v>1212</v>
      </c>
      <c r="C361"/>
      <c r="D361"/>
      <c r="E361" s="255"/>
      <c r="F361" s="69"/>
      <c r="G361" s="84"/>
      <c r="H361" s="84"/>
    </row>
    <row r="362" spans="1:8" ht="15.75" customHeight="1">
      <c r="A362" s="14" t="s">
        <v>864</v>
      </c>
      <c r="C362"/>
      <c r="D362"/>
      <c r="E362" s="255"/>
      <c r="F362" s="69"/>
      <c r="G362" s="156"/>
      <c r="H362" s="84"/>
    </row>
    <row r="363" spans="1:8" ht="6" customHeight="1">
      <c r="A363"/>
      <c r="C363"/>
      <c r="D363"/>
      <c r="E363" s="255"/>
      <c r="F363" s="69"/>
      <c r="G363" s="84"/>
      <c r="H363" s="84"/>
    </row>
    <row r="364" spans="1:8" ht="15.75" customHeight="1">
      <c r="A364" s="14" t="s">
        <v>2020</v>
      </c>
      <c r="C364"/>
      <c r="D364"/>
      <c r="E364" s="255"/>
      <c r="F364" s="69"/>
      <c r="G364" s="84"/>
      <c r="H364" s="84"/>
    </row>
    <row r="365" spans="1:8" ht="6" customHeight="1">
      <c r="A365"/>
      <c r="C365"/>
      <c r="D365"/>
      <c r="E365"/>
      <c r="F365" s="69"/>
      <c r="G365" s="84"/>
      <c r="H365" s="84"/>
    </row>
    <row r="366" spans="1:8" ht="15.75" customHeight="1">
      <c r="A366" s="1" t="s">
        <v>1343</v>
      </c>
      <c r="B366" s="3">
        <f>+H329*B305</f>
        <v>37.8001223740567</v>
      </c>
      <c r="C366" s="28" t="s">
        <v>699</v>
      </c>
      <c r="D366"/>
      <c r="E366" s="1" t="s">
        <v>865</v>
      </c>
      <c r="G366" s="3">
        <f>0.5*F359^2/(2*H300*E353^2)</f>
        <v>0.8313439719147921</v>
      </c>
      <c r="H366" s="14" t="s">
        <v>699</v>
      </c>
    </row>
    <row r="367" spans="1:8" ht="6" customHeight="1">
      <c r="A367"/>
      <c r="C367"/>
      <c r="D367"/>
      <c r="E367" s="69"/>
      <c r="F367" s="84"/>
      <c r="G367" s="84"/>
      <c r="H367" s="3"/>
    </row>
    <row r="368" spans="1:8" ht="15.75" customHeight="1">
      <c r="A368" s="69"/>
      <c r="B368"/>
      <c r="C368"/>
      <c r="D368"/>
      <c r="E368" s="222" t="s">
        <v>866</v>
      </c>
      <c r="G368" s="3">
        <f>F359^2/(2*H300*E353^2)</f>
        <v>1.6626879438295843</v>
      </c>
      <c r="H368" s="14" t="s">
        <v>699</v>
      </c>
    </row>
    <row r="369" spans="1:8" ht="6" customHeight="1">
      <c r="A369" s="69"/>
      <c r="B369"/>
      <c r="C369"/>
      <c r="D369"/>
      <c r="E369" s="222"/>
      <c r="F369" s="3"/>
      <c r="G369" s="14"/>
      <c r="H369" s="156"/>
    </row>
    <row r="370" spans="1:8" ht="15.75" customHeight="1">
      <c r="A370" s="14" t="s">
        <v>867</v>
      </c>
      <c r="B370"/>
      <c r="C370"/>
      <c r="D370"/>
      <c r="E370" s="56"/>
      <c r="F370"/>
      <c r="G370" s="84"/>
      <c r="H370" s="84"/>
    </row>
    <row r="371" spans="1:8" ht="6" customHeight="1">
      <c r="A371"/>
      <c r="B371"/>
      <c r="C371"/>
      <c r="D371"/>
      <c r="E371"/>
      <c r="F371"/>
      <c r="G371"/>
      <c r="H371"/>
    </row>
    <row r="372" spans="1:8" ht="15.75" customHeight="1">
      <c r="A372"/>
      <c r="B372" s="74" t="s">
        <v>868</v>
      </c>
      <c r="C372" s="203"/>
      <c r="D372" s="203"/>
      <c r="E372" s="74"/>
      <c r="F372" s="74"/>
      <c r="G372" s="153">
        <f>+B303-0.5*F359^2/(2*H300*E353^2)-H329*B305-F359^2/(2*H300*E353^2)</f>
        <v>9.705845710198926</v>
      </c>
      <c r="H372" s="161" t="s">
        <v>699</v>
      </c>
    </row>
    <row r="373" spans="1:8" ht="6" customHeight="1">
      <c r="A373"/>
      <c r="B373"/>
      <c r="C373"/>
      <c r="D373"/>
      <c r="E373"/>
      <c r="F373" s="256"/>
      <c r="G373" s="257"/>
      <c r="H373"/>
    </row>
    <row r="374" spans="1:8" ht="15.75" customHeight="1">
      <c r="A374" s="258" t="s">
        <v>869</v>
      </c>
      <c r="B374" s="259"/>
      <c r="C374" s="259"/>
      <c r="D374" s="259"/>
      <c r="E374" s="259"/>
      <c r="F374" s="260"/>
      <c r="G374" s="261"/>
      <c r="H374" s="259"/>
    </row>
    <row r="375" spans="1:8" ht="6" customHeight="1">
      <c r="A375"/>
      <c r="B375"/>
      <c r="C375"/>
      <c r="D375"/>
      <c r="E375"/>
      <c r="F375"/>
      <c r="G375"/>
      <c r="H375"/>
    </row>
    <row r="376" spans="1:8" ht="15.75" customHeight="1">
      <c r="A376"/>
      <c r="B376"/>
      <c r="C376" s="117" t="s">
        <v>870</v>
      </c>
      <c r="D376"/>
      <c r="E376"/>
      <c r="F376"/>
      <c r="G376"/>
      <c r="H376"/>
    </row>
    <row r="377" spans="1:8" ht="6" customHeight="1">
      <c r="A377" t="s">
        <v>871</v>
      </c>
      <c r="B377"/>
      <c r="C377"/>
      <c r="D377"/>
      <c r="E377"/>
      <c r="F377"/>
      <c r="G377"/>
      <c r="H377"/>
    </row>
    <row r="378" spans="1:8" ht="15.75" customHeight="1">
      <c r="A378" s="14" t="s">
        <v>1381</v>
      </c>
      <c r="B378"/>
      <c r="C378"/>
      <c r="D378"/>
      <c r="E378"/>
      <c r="F378"/>
      <c r="G378"/>
      <c r="H378"/>
    </row>
    <row r="379" spans="1:8" ht="6" customHeight="1">
      <c r="A379" s="84"/>
      <c r="B379"/>
      <c r="C379"/>
      <c r="D379"/>
      <c r="E379"/>
      <c r="F379"/>
      <c r="G379"/>
      <c r="H379"/>
    </row>
    <row r="380" spans="1:8" ht="15.75" customHeight="1">
      <c r="A380" s="14" t="s">
        <v>1429</v>
      </c>
      <c r="B380" s="106"/>
      <c r="C380" s="68"/>
      <c r="D380" s="141"/>
      <c r="E380" s="68"/>
      <c r="F380" s="106"/>
      <c r="G380" s="68"/>
      <c r="H380" s="156"/>
    </row>
    <row r="381" spans="1:8" ht="6" customHeight="1">
      <c r="A381" s="156"/>
      <c r="B381" s="156"/>
      <c r="C381" s="156"/>
      <c r="D381" s="156"/>
      <c r="E381" s="156"/>
      <c r="F381" s="156"/>
      <c r="G381" s="156"/>
      <c r="H381" s="156"/>
    </row>
    <row r="382" spans="1:8" ht="15.75" customHeight="1">
      <c r="A382" s="68" t="s">
        <v>872</v>
      </c>
      <c r="B382"/>
      <c r="C382" s="106">
        <f>0.1*G382^2/(2*H300)</f>
        <v>0.16626879438295844</v>
      </c>
      <c r="D382" s="66" t="s">
        <v>1012</v>
      </c>
      <c r="F382" s="68" t="s">
        <v>2002</v>
      </c>
      <c r="G382" s="3">
        <f>+F359/E353</f>
        <v>5.710397180090523</v>
      </c>
      <c r="H382" s="14" t="s">
        <v>699</v>
      </c>
    </row>
    <row r="383" spans="1:8" ht="6" customHeight="1">
      <c r="A383" s="68"/>
      <c r="B383"/>
      <c r="C383" s="106"/>
      <c r="D383" s="68"/>
      <c r="E383"/>
      <c r="F383" s="68"/>
      <c r="G383" s="68"/>
      <c r="H383" s="3"/>
    </row>
    <row r="384" spans="1:8" ht="15.75" customHeight="1">
      <c r="A384" s="66" t="s">
        <v>1013</v>
      </c>
      <c r="B384" s="106"/>
      <c r="C384" s="68"/>
      <c r="D384"/>
      <c r="E384" s="66" t="s">
        <v>1695</v>
      </c>
      <c r="G384" s="106">
        <f>+F359/(H304*E353)</f>
        <v>9.361306852607415</v>
      </c>
      <c r="H384" s="66" t="s">
        <v>2381</v>
      </c>
    </row>
    <row r="385" spans="1:8" ht="6" customHeight="1">
      <c r="A385" s="125"/>
      <c r="B385" s="106"/>
      <c r="C385" s="68"/>
      <c r="D385"/>
      <c r="E385"/>
      <c r="F385" s="106"/>
      <c r="G385" s="66"/>
      <c r="H385"/>
    </row>
    <row r="386" spans="1:8" ht="15.75" customHeight="1">
      <c r="A386" s="125" t="s">
        <v>1696</v>
      </c>
      <c r="B386" s="141"/>
      <c r="C386" s="141"/>
      <c r="D386"/>
      <c r="E386" s="14"/>
      <c r="G386" s="106">
        <f>+G384^2/(2*H300)</f>
        <v>4.468390066728255</v>
      </c>
      <c r="H386" s="66" t="s">
        <v>699</v>
      </c>
    </row>
    <row r="387" spans="1:8" ht="6" customHeight="1">
      <c r="A387" s="125"/>
      <c r="B387" s="141"/>
      <c r="C387" s="141"/>
      <c r="D387" s="141"/>
      <c r="E387" s="16"/>
      <c r="F387" s="106"/>
      <c r="G387" s="68"/>
      <c r="H387"/>
    </row>
    <row r="388" spans="1:8" ht="15.75" customHeight="1">
      <c r="A388" s="66" t="s">
        <v>867</v>
      </c>
      <c r="B388" s="141"/>
      <c r="C388" s="141"/>
      <c r="D388" s="141"/>
      <c r="E388" s="16"/>
      <c r="F388" s="106"/>
      <c r="G388" s="68"/>
      <c r="H388"/>
    </row>
    <row r="389" spans="1:8" ht="6" customHeight="1">
      <c r="A389" s="125"/>
      <c r="B389" s="141"/>
      <c r="C389" s="141"/>
      <c r="D389" s="141"/>
      <c r="E389" s="16"/>
      <c r="F389" s="106"/>
      <c r="G389" s="68"/>
      <c r="H389"/>
    </row>
    <row r="390" spans="1:8" ht="15.75" customHeight="1">
      <c r="A390" s="74" t="s">
        <v>1697</v>
      </c>
      <c r="B390" s="171"/>
      <c r="C390" s="203"/>
      <c r="D390" s="203"/>
      <c r="E390" s="74"/>
      <c r="F390" s="74"/>
      <c r="G390" s="8">
        <f>+B303-C382-G386-B304</f>
        <v>5.3653411388887875</v>
      </c>
      <c r="H390" s="74" t="s">
        <v>699</v>
      </c>
    </row>
    <row r="391" spans="1:8" ht="6" customHeight="1">
      <c r="A391" s="26"/>
      <c r="B391" s="26"/>
      <c r="C391" s="26"/>
      <c r="D391" s="26"/>
      <c r="E391" s="26"/>
      <c r="F391" s="26"/>
      <c r="G391" s="26"/>
      <c r="H391" s="26"/>
    </row>
    <row r="392" spans="1:8" ht="15.75" customHeight="1">
      <c r="A392" s="66" t="s">
        <v>1698</v>
      </c>
      <c r="B392" s="26"/>
      <c r="C392" s="106"/>
      <c r="D392" s="69"/>
      <c r="E392" s="26"/>
      <c r="F392" s="26"/>
      <c r="G392" s="26"/>
      <c r="H392" s="26"/>
    </row>
    <row r="393" spans="1:8" ht="6" customHeight="1">
      <c r="A393" s="26"/>
      <c r="B393" s="26"/>
      <c r="C393" s="26"/>
      <c r="D393" s="26"/>
      <c r="E393" s="26"/>
      <c r="F393" s="26"/>
      <c r="G393" s="26"/>
      <c r="H393" s="26"/>
    </row>
    <row r="394" spans="1:8" ht="15.75" customHeight="1">
      <c r="A394" s="65" t="s">
        <v>1699</v>
      </c>
      <c r="B394" s="26"/>
      <c r="C394" s="26"/>
      <c r="D394" s="26"/>
      <c r="E394" s="26"/>
      <c r="F394" s="26"/>
      <c r="G394" s="26"/>
      <c r="H394" s="26"/>
    </row>
    <row r="395" spans="1:8" ht="6" customHeight="1">
      <c r="A395"/>
      <c r="B395"/>
      <c r="C395"/>
      <c r="D395"/>
      <c r="E395"/>
      <c r="F395"/>
      <c r="G395"/>
      <c r="H395"/>
    </row>
    <row r="396" spans="1:8" ht="15.75" customHeight="1">
      <c r="A396"/>
      <c r="B396"/>
      <c r="C396" s="135" t="s">
        <v>2052</v>
      </c>
      <c r="D396"/>
      <c r="E396"/>
      <c r="F396"/>
      <c r="G396"/>
      <c r="H396"/>
    </row>
    <row r="397" spans="1:8" ht="6" customHeight="1">
      <c r="A397"/>
      <c r="B397"/>
      <c r="C397"/>
      <c r="D397" s="135"/>
      <c r="E397"/>
      <c r="F397"/>
      <c r="G397"/>
      <c r="H397"/>
    </row>
    <row r="398" spans="1:8" ht="15.75" customHeight="1">
      <c r="A398" s="14" t="s">
        <v>2053</v>
      </c>
      <c r="B398"/>
      <c r="C398"/>
      <c r="D398" s="135"/>
      <c r="E398"/>
      <c r="F398"/>
      <c r="G398"/>
      <c r="H398"/>
    </row>
    <row r="399" spans="1:8" ht="15.75" customHeight="1">
      <c r="A399" s="14" t="s">
        <v>2087</v>
      </c>
      <c r="B399"/>
      <c r="C399"/>
      <c r="D399" s="135"/>
      <c r="E399"/>
      <c r="F399"/>
      <c r="G399"/>
      <c r="H399"/>
    </row>
    <row r="400" spans="1:8" ht="15.75" customHeight="1">
      <c r="A400" s="84" t="s">
        <v>2088</v>
      </c>
      <c r="B400"/>
      <c r="C400"/>
      <c r="D400" s="135"/>
      <c r="E400"/>
      <c r="F400"/>
      <c r="G400"/>
      <c r="H400"/>
    </row>
    <row r="401" spans="1:8" ht="15.75" customHeight="1">
      <c r="A401" s="14" t="s">
        <v>2089</v>
      </c>
      <c r="B401"/>
      <c r="C401"/>
      <c r="D401" s="135"/>
      <c r="E401"/>
      <c r="F401"/>
      <c r="G401"/>
      <c r="H401"/>
    </row>
    <row r="402" spans="1:8" ht="15.75" customHeight="1">
      <c r="A402" s="14" t="s">
        <v>2090</v>
      </c>
      <c r="B402"/>
      <c r="C402"/>
      <c r="D402" s="135"/>
      <c r="E402"/>
      <c r="F402"/>
      <c r="G402"/>
      <c r="H402"/>
    </row>
    <row r="403" spans="1:8" ht="15.75" customHeight="1">
      <c r="A403" s="14" t="s">
        <v>2091</v>
      </c>
      <c r="B403"/>
      <c r="C403"/>
      <c r="D403" s="135"/>
      <c r="E403"/>
      <c r="F403"/>
      <c r="G403"/>
      <c r="H403"/>
    </row>
    <row r="404" spans="1:8" ht="15.75" customHeight="1">
      <c r="A404" s="14" t="s">
        <v>2092</v>
      </c>
      <c r="B404"/>
      <c r="C404"/>
      <c r="D404" s="135"/>
      <c r="E404"/>
      <c r="F404"/>
      <c r="G404"/>
      <c r="H404"/>
    </row>
    <row r="405" spans="1:8" ht="15.75" customHeight="1">
      <c r="A405" s="84" t="s">
        <v>146</v>
      </c>
      <c r="B405"/>
      <c r="C405"/>
      <c r="D405" s="135"/>
      <c r="E405"/>
      <c r="F405"/>
      <c r="G405"/>
      <c r="H405"/>
    </row>
    <row r="406" spans="1:8" ht="6" customHeight="1">
      <c r="A406"/>
      <c r="B406"/>
      <c r="C406"/>
      <c r="D406" s="135"/>
      <c r="E406"/>
      <c r="F406"/>
      <c r="G406"/>
      <c r="H406"/>
    </row>
    <row r="407" spans="1:8" ht="15.75" customHeight="1">
      <c r="A407" s="120" t="s">
        <v>147</v>
      </c>
      <c r="B407" s="67"/>
      <c r="C407" s="67"/>
      <c r="D407" s="67"/>
      <c r="E407" s="67"/>
      <c r="F407" s="67"/>
      <c r="G407" s="67"/>
      <c r="H407" s="67"/>
    </row>
    <row r="408" spans="1:8" ht="15.75" customHeight="1">
      <c r="A408" s="120" t="s">
        <v>148</v>
      </c>
      <c r="B408" s="67"/>
      <c r="C408" s="67"/>
      <c r="D408" s="67"/>
      <c r="E408" s="67"/>
      <c r="F408" s="67"/>
      <c r="G408" s="67"/>
      <c r="H408" s="67"/>
    </row>
    <row r="409" spans="1:8" ht="6" customHeight="1">
      <c r="A409" s="137"/>
      <c r="B409" s="67"/>
      <c r="C409" s="67"/>
      <c r="D409" s="67"/>
      <c r="E409" s="67"/>
      <c r="F409" s="67"/>
      <c r="G409" s="67"/>
      <c r="H409" s="67"/>
    </row>
    <row r="410" spans="1:8" ht="15.75" customHeight="1">
      <c r="A410" s="137"/>
      <c r="B410" s="69" t="s">
        <v>149</v>
      </c>
      <c r="C410" s="67"/>
      <c r="D410" s="67"/>
      <c r="F410" s="137" t="s">
        <v>150</v>
      </c>
      <c r="G410" s="67"/>
      <c r="H410" s="67"/>
    </row>
    <row r="411" spans="1:8" ht="6" customHeight="1">
      <c r="A411"/>
      <c r="B411"/>
      <c r="C411"/>
      <c r="D411"/>
      <c r="E411" s="259"/>
      <c r="F411"/>
      <c r="G411"/>
      <c r="H411"/>
    </row>
    <row r="412" spans="1:9" ht="15.75" customHeight="1">
      <c r="A412" s="223" t="s">
        <v>151</v>
      </c>
      <c r="B412"/>
      <c r="D412" s="19">
        <f>+(-2*LOG10(D414/3.71))^(-2)</f>
        <v>0.057109946515811534</v>
      </c>
      <c r="F412" s="223" t="s">
        <v>152</v>
      </c>
      <c r="H412" s="156"/>
      <c r="I412" s="19">
        <f>+(-2*LOG10(I414/3.71))^(-2)</f>
        <v>0.04364676131346742</v>
      </c>
    </row>
    <row r="413" spans="1:9" ht="6" customHeight="1">
      <c r="A413" s="223"/>
      <c r="B413"/>
      <c r="D413"/>
      <c r="F413"/>
      <c r="H413"/>
      <c r="I413" s="223"/>
    </row>
    <row r="414" spans="1:9" ht="15.75" customHeight="1">
      <c r="A414" s="1" t="s">
        <v>153</v>
      </c>
      <c r="C414" s="2" t="s">
        <v>154</v>
      </c>
      <c r="D414" s="3">
        <f>+E304/E301</f>
        <v>0.03</v>
      </c>
      <c r="F414" s="1" t="s">
        <v>153</v>
      </c>
      <c r="H414" s="2" t="s">
        <v>155</v>
      </c>
      <c r="I414" s="1">
        <f>+E305/E302</f>
        <v>0.015</v>
      </c>
    </row>
    <row r="415" spans="1:8" ht="6" customHeight="1">
      <c r="A415" s="223"/>
      <c r="B415"/>
      <c r="C415"/>
      <c r="D415" s="251"/>
      <c r="E415"/>
      <c r="F415"/>
      <c r="G415" s="223"/>
      <c r="H415"/>
    </row>
    <row r="416" spans="1:8" ht="15.75" customHeight="1">
      <c r="A416" s="14" t="s">
        <v>156</v>
      </c>
      <c r="B416"/>
      <c r="C416"/>
      <c r="D416" s="251"/>
      <c r="E416"/>
      <c r="F416"/>
      <c r="G416" s="223"/>
      <c r="H416"/>
    </row>
    <row r="417" spans="1:8" ht="6" customHeight="1">
      <c r="A417" s="223"/>
      <c r="B417"/>
      <c r="C417"/>
      <c r="D417" s="251"/>
      <c r="E417"/>
      <c r="F417"/>
      <c r="G417" s="223"/>
      <c r="H417"/>
    </row>
    <row r="418" spans="1:8" ht="15.75" customHeight="1">
      <c r="A418" s="68" t="s">
        <v>157</v>
      </c>
      <c r="C418" s="3">
        <f>+PI()*E301^2/4</f>
        <v>0.07068583470577035</v>
      </c>
      <c r="D418" s="28" t="s">
        <v>108</v>
      </c>
      <c r="E418" s="66" t="s">
        <v>158</v>
      </c>
      <c r="G418" s="3">
        <f>+PI()*E302^2/4</f>
        <v>0.2827433388230814</v>
      </c>
      <c r="H418" s="28" t="s">
        <v>108</v>
      </c>
    </row>
    <row r="419" spans="1:8" ht="6" customHeight="1">
      <c r="A419" s="68"/>
      <c r="B419" s="3"/>
      <c r="C419" s="28"/>
      <c r="D419" s="251"/>
      <c r="E419"/>
      <c r="F419" s="66"/>
      <c r="G419"/>
      <c r="H419" s="3"/>
    </row>
    <row r="420" spans="1:8" ht="15.75" customHeight="1">
      <c r="A420" s="14" t="s">
        <v>159</v>
      </c>
      <c r="B420" s="3"/>
      <c r="C420" s="28"/>
      <c r="D420" s="251"/>
      <c r="E420"/>
      <c r="F420" s="66"/>
      <c r="G420"/>
      <c r="H420" s="3"/>
    </row>
    <row r="421" spans="1:8" ht="6" customHeight="1">
      <c r="A421" s="223"/>
      <c r="B421"/>
      <c r="C421"/>
      <c r="D421" s="251"/>
      <c r="E421"/>
      <c r="F421"/>
      <c r="G421" s="223"/>
      <c r="H421"/>
    </row>
    <row r="422" spans="1:8" ht="15.75" customHeight="1">
      <c r="A422" s="74" t="s">
        <v>160</v>
      </c>
      <c r="B422" s="203"/>
      <c r="C422" s="203"/>
      <c r="D422" s="203"/>
      <c r="E422" s="203"/>
      <c r="F422" s="203"/>
      <c r="G422" s="74"/>
      <c r="H422" s="74"/>
    </row>
    <row r="423" spans="2:9" ht="6" customHeight="1">
      <c r="B423" s="26"/>
      <c r="C423" s="26"/>
      <c r="D423" s="26"/>
      <c r="E423" s="26"/>
      <c r="F423" s="26"/>
      <c r="G423" s="28"/>
      <c r="H423" s="118"/>
      <c r="I423" s="69"/>
    </row>
    <row r="424" spans="1:9" ht="15.75" customHeight="1">
      <c r="A424" s="28"/>
      <c r="B424" s="26"/>
      <c r="C424" s="26"/>
      <c r="D424" s="26"/>
      <c r="E424" s="26"/>
      <c r="F424" s="74" t="s">
        <v>161</v>
      </c>
      <c r="G424" s="74"/>
      <c r="H424" s="153">
        <f>+SQRT((B303-G372)/((D412*B306)/(E301*2*H300*C418^2)+1/(2*H300)*(1/C418-1/G418)^2+(I412*B307)/(E302*2*H300*G418^2)+1/(2*H300*G418^2)))</f>
        <v>0.363626265129069</v>
      </c>
      <c r="I424" s="161" t="s">
        <v>2374</v>
      </c>
    </row>
    <row r="425" spans="1:8" ht="6" customHeight="1">
      <c r="A425"/>
      <c r="B425"/>
      <c r="C425"/>
      <c r="D425"/>
      <c r="E425"/>
      <c r="F425"/>
      <c r="G425"/>
      <c r="H425"/>
    </row>
    <row r="426" spans="1:8" ht="15.75" customHeight="1">
      <c r="A426" s="120" t="s">
        <v>162</v>
      </c>
      <c r="B426"/>
      <c r="C426"/>
      <c r="D426"/>
      <c r="E426"/>
      <c r="F426" s="135"/>
      <c r="G426"/>
      <c r="H426"/>
    </row>
    <row r="427" spans="1:8" ht="6" customHeight="1">
      <c r="A427" s="259"/>
      <c r="B427"/>
      <c r="C427"/>
      <c r="D427"/>
      <c r="E427"/>
      <c r="F427"/>
      <c r="G427"/>
      <c r="H427"/>
    </row>
    <row r="428" spans="1:8" ht="15.75" customHeight="1">
      <c r="A428" s="262" t="s">
        <v>163</v>
      </c>
      <c r="B428"/>
      <c r="C428" s="215">
        <f>4*H424/(E301*PI()*B301)</f>
        <v>1543277.8008889447</v>
      </c>
      <c r="D428"/>
      <c r="E428" s="262" t="s">
        <v>163</v>
      </c>
      <c r="G428" s="215">
        <f>4*H424/(E302*PI()*B301)</f>
        <v>771638.9004444723</v>
      </c>
      <c r="H428"/>
    </row>
    <row r="429" spans="2:8" ht="6" customHeight="1">
      <c r="B429"/>
      <c r="C429" s="215"/>
      <c r="D429"/>
      <c r="E429"/>
      <c r="F429"/>
      <c r="H429"/>
    </row>
    <row r="430" spans="2:8" ht="15.75" customHeight="1">
      <c r="B430" s="2" t="s">
        <v>154</v>
      </c>
      <c r="C430" s="3">
        <f>+D414</f>
        <v>0.03</v>
      </c>
      <c r="D430"/>
      <c r="F430" s="2" t="s">
        <v>155</v>
      </c>
      <c r="G430" s="1">
        <f>+E305/E302</f>
        <v>0.015</v>
      </c>
      <c r="H430" s="156"/>
    </row>
    <row r="431" spans="1:8" ht="6" customHeight="1">
      <c r="A431" s="2"/>
      <c r="B431" s="1"/>
      <c r="C431"/>
      <c r="D431"/>
      <c r="E431"/>
      <c r="F431" s="2"/>
      <c r="G431" s="1"/>
      <c r="H431"/>
    </row>
    <row r="432" spans="1:8" ht="15.75" customHeight="1">
      <c r="A432" s="120" t="s">
        <v>164</v>
      </c>
      <c r="B432"/>
      <c r="C432"/>
      <c r="D432"/>
      <c r="E432"/>
      <c r="G432"/>
      <c r="H432"/>
    </row>
    <row r="433" spans="1:8" ht="15.75" customHeight="1">
      <c r="A433" s="120" t="s">
        <v>515</v>
      </c>
      <c r="B433"/>
      <c r="C433"/>
      <c r="D433"/>
      <c r="E433"/>
      <c r="F433"/>
      <c r="G433"/>
      <c r="H433"/>
    </row>
    <row r="434" spans="1:8" ht="6" customHeight="1">
      <c r="A434" s="137"/>
      <c r="B434"/>
      <c r="C434"/>
      <c r="D434"/>
      <c r="E434"/>
      <c r="F434"/>
      <c r="G434"/>
      <c r="H434"/>
    </row>
    <row r="435" spans="1:8" ht="15.75" customHeight="1">
      <c r="A435" s="120" t="s">
        <v>516</v>
      </c>
      <c r="B435" s="67"/>
      <c r="C435" s="67"/>
      <c r="D435" s="67"/>
      <c r="E435" s="67"/>
      <c r="F435" s="67"/>
      <c r="G435" s="67"/>
      <c r="H435" s="67"/>
    </row>
    <row r="436" spans="1:8" ht="15.75" customHeight="1">
      <c r="A436" s="120" t="s">
        <v>517</v>
      </c>
      <c r="B436" s="67"/>
      <c r="C436" s="67"/>
      <c r="D436" s="67"/>
      <c r="E436" s="67"/>
      <c r="F436" s="67"/>
      <c r="G436" s="67"/>
      <c r="H436" s="67"/>
    </row>
    <row r="437" spans="1:8" ht="6" customHeight="1">
      <c r="A437" s="137"/>
      <c r="B437" s="67"/>
      <c r="C437" s="67"/>
      <c r="D437" s="67"/>
      <c r="E437" s="67"/>
      <c r="F437" s="67"/>
      <c r="G437" s="67"/>
      <c r="H437" s="67"/>
    </row>
    <row r="438" spans="1:8" ht="15.75" customHeight="1">
      <c r="A438" s="135"/>
      <c r="B438" s="222" t="s">
        <v>518</v>
      </c>
      <c r="C438" s="67"/>
      <c r="D438" s="67"/>
      <c r="E438" s="223" t="s">
        <v>519</v>
      </c>
      <c r="F438" s="67"/>
      <c r="H438" s="75" t="s">
        <v>150</v>
      </c>
    </row>
    <row r="439" spans="1:8" ht="6" customHeight="1">
      <c r="A439"/>
      <c r="B439"/>
      <c r="C439"/>
      <c r="D439"/>
      <c r="E439"/>
      <c r="F439"/>
      <c r="G439"/>
      <c r="H439"/>
    </row>
    <row r="440" spans="1:8" ht="15.75" customHeight="1">
      <c r="A440" s="120" t="s">
        <v>520</v>
      </c>
      <c r="B440" s="67"/>
      <c r="C440" s="67"/>
      <c r="D440" s="67"/>
      <c r="E440" s="67"/>
      <c r="F440" s="67"/>
      <c r="G440" s="67"/>
      <c r="H440" s="67"/>
    </row>
    <row r="441" spans="1:8" ht="6" customHeight="1">
      <c r="A441"/>
      <c r="B441"/>
      <c r="C441"/>
      <c r="D441"/>
      <c r="E441"/>
      <c r="F441"/>
      <c r="G441"/>
      <c r="H441"/>
    </row>
    <row r="442" spans="1:9" ht="15.75" customHeight="1">
      <c r="A442" s="167" t="s">
        <v>521</v>
      </c>
      <c r="B442"/>
      <c r="D442" s="19">
        <f>1/4*(LOG10(3.71*(C430)^(-1)))^-2</f>
        <v>0.057109946515811534</v>
      </c>
      <c r="F442" s="167" t="s">
        <v>522</v>
      </c>
      <c r="G442" s="156"/>
      <c r="I442" s="19">
        <f>1/4*(LOG10(3.71*(G430)^(-1)))^-2</f>
        <v>0.04364676131346742</v>
      </c>
    </row>
    <row r="443" spans="1:8" ht="6" customHeight="1">
      <c r="A443"/>
      <c r="B443" s="67"/>
      <c r="C443"/>
      <c r="D443" s="67"/>
      <c r="E443" s="67"/>
      <c r="F443" s="67"/>
      <c r="G443"/>
      <c r="H443" s="67"/>
    </row>
    <row r="444" spans="1:8" ht="15.75" customHeight="1">
      <c r="A444" s="120" t="s">
        <v>523</v>
      </c>
      <c r="B444"/>
      <c r="C444"/>
      <c r="D444"/>
      <c r="E444"/>
      <c r="F444"/>
      <c r="G444"/>
      <c r="H444"/>
    </row>
    <row r="445" ht="6" customHeight="1"/>
    <row r="446" spans="1:9" ht="6" customHeight="1">
      <c r="A446" s="131"/>
      <c r="B446" s="131"/>
      <c r="C446" s="131"/>
      <c r="D446" s="131"/>
      <c r="E446" s="131"/>
      <c r="F446" s="131"/>
      <c r="G446" s="131"/>
      <c r="H446" s="131"/>
      <c r="I446" s="131"/>
    </row>
    <row r="447" ht="6" customHeight="1"/>
  </sheetData>
  <sheetProtection password="DD5B" sheet="1" objects="1" scenarios="1"/>
  <printOptions/>
  <pageMargins left="0.75" right="0.75" top="1" bottom="1" header="0.5" footer="0.5"/>
  <pageSetup horizontalDpi="600" verticalDpi="600" orientation="portrait" paperSize="9" scale="98" r:id="rId3"/>
  <legacyDrawing r:id="rId2"/>
  <oleObjects>
    <oleObject progId="Equation.3" shapeId="67569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9"/>
  <sheetViews>
    <sheetView view="pageBreakPreview" zoomScale="75" zoomScaleSheetLayoutView="75" workbookViewId="0" topLeftCell="A394">
      <selection activeCell="A351" sqref="A351:I435"/>
    </sheetView>
  </sheetViews>
  <sheetFormatPr defaultColWidth="9.140625" defaultRowHeight="15.75" customHeight="1"/>
  <cols>
    <col min="1" max="1" width="18.140625" style="120" customWidth="1"/>
    <col min="2" max="2" width="9.7109375" style="120" bestFit="1" customWidth="1"/>
    <col min="3" max="3" width="9.8515625" style="120" bestFit="1" customWidth="1"/>
    <col min="4" max="4" width="15.00390625" style="120" customWidth="1"/>
    <col min="5" max="5" width="10.8515625" style="120" customWidth="1"/>
    <col min="6" max="6" width="11.28125" style="120" customWidth="1"/>
    <col min="7" max="7" width="10.421875" style="120" customWidth="1"/>
    <col min="8" max="8" width="9.8515625" style="120" bestFit="1" customWidth="1"/>
    <col min="9" max="9" width="8.421875" style="120" customWidth="1"/>
    <col min="10" max="16384" width="9.140625" style="120" customWidth="1"/>
  </cols>
  <sheetData>
    <row r="1" ht="15.75" customHeight="1">
      <c r="A1" s="85" t="s">
        <v>524</v>
      </c>
    </row>
    <row r="2" ht="6" customHeight="1">
      <c r="A2" s="1"/>
    </row>
    <row r="3" ht="15.75" customHeight="1">
      <c r="A3" s="5" t="s">
        <v>112</v>
      </c>
    </row>
    <row r="4" spans="1:9" ht="15.75" customHeight="1">
      <c r="A4" s="1" t="s">
        <v>2135</v>
      </c>
      <c r="B4" s="3">
        <v>3</v>
      </c>
      <c r="C4" s="22" t="s">
        <v>699</v>
      </c>
      <c r="D4" s="2" t="s">
        <v>525</v>
      </c>
      <c r="E4" s="68">
        <v>7845</v>
      </c>
      <c r="F4" s="25" t="s">
        <v>713</v>
      </c>
      <c r="G4" s="2" t="s">
        <v>526</v>
      </c>
      <c r="H4" s="1">
        <v>0.75</v>
      </c>
      <c r="I4" s="22"/>
    </row>
    <row r="5" spans="1:9" ht="15.75" customHeight="1">
      <c r="A5" s="1" t="s">
        <v>527</v>
      </c>
      <c r="B5" s="3">
        <v>6.5</v>
      </c>
      <c r="C5" s="22" t="s">
        <v>699</v>
      </c>
      <c r="D5" s="2" t="s">
        <v>528</v>
      </c>
      <c r="E5" s="166">
        <v>2.3E-06</v>
      </c>
      <c r="F5" s="25" t="s">
        <v>893</v>
      </c>
      <c r="G5" s="1" t="s">
        <v>892</v>
      </c>
      <c r="H5" s="3">
        <v>55</v>
      </c>
      <c r="I5" s="4" t="s">
        <v>699</v>
      </c>
    </row>
    <row r="6" spans="1:9" ht="15.75" customHeight="1">
      <c r="A6" s="263" t="s">
        <v>529</v>
      </c>
      <c r="B6" s="1">
        <v>0.32</v>
      </c>
      <c r="C6" s="264"/>
      <c r="D6" s="2" t="s">
        <v>530</v>
      </c>
      <c r="E6" s="1">
        <v>133362</v>
      </c>
      <c r="F6" s="25" t="s">
        <v>713</v>
      </c>
      <c r="G6" s="1" t="s">
        <v>894</v>
      </c>
      <c r="H6" s="3">
        <v>40</v>
      </c>
      <c r="I6" s="4" t="s">
        <v>699</v>
      </c>
    </row>
    <row r="7" spans="1:9" ht="15.75" customHeight="1">
      <c r="A7" s="1" t="s">
        <v>1353</v>
      </c>
      <c r="B7" s="1">
        <v>0.61</v>
      </c>
      <c r="C7" s="264"/>
      <c r="D7" s="1" t="s">
        <v>714</v>
      </c>
      <c r="E7" s="3">
        <f>0.04</f>
        <v>0.04</v>
      </c>
      <c r="F7" s="4" t="s">
        <v>699</v>
      </c>
      <c r="G7" s="1" t="s">
        <v>2515</v>
      </c>
      <c r="H7" s="3">
        <v>0.3</v>
      </c>
      <c r="I7" s="4" t="s">
        <v>699</v>
      </c>
    </row>
    <row r="8" spans="1:9" ht="15.75" customHeight="1">
      <c r="A8" s="2" t="s">
        <v>531</v>
      </c>
      <c r="B8" s="1">
        <v>0.6</v>
      </c>
      <c r="C8" s="22"/>
      <c r="D8" s="1" t="s">
        <v>2284</v>
      </c>
      <c r="E8" s="3">
        <v>0.75</v>
      </c>
      <c r="F8" s="4" t="s">
        <v>699</v>
      </c>
      <c r="G8" s="1" t="s">
        <v>2516</v>
      </c>
      <c r="H8" s="3">
        <v>0.2</v>
      </c>
      <c r="I8" s="4" t="s">
        <v>699</v>
      </c>
    </row>
    <row r="9" spans="1:9" ht="15.75" customHeight="1">
      <c r="A9" s="1" t="s">
        <v>1017</v>
      </c>
      <c r="B9" s="1">
        <v>9.806</v>
      </c>
      <c r="C9" s="25" t="s">
        <v>1018</v>
      </c>
      <c r="D9" s="2" t="s">
        <v>532</v>
      </c>
      <c r="E9" s="3">
        <v>0.3</v>
      </c>
      <c r="F9" s="22" t="s">
        <v>699</v>
      </c>
      <c r="G9" s="2" t="s">
        <v>533</v>
      </c>
      <c r="H9" s="215">
        <f>6*0.0001</f>
        <v>0.0006000000000000001</v>
      </c>
      <c r="I9" s="4" t="s">
        <v>699</v>
      </c>
    </row>
    <row r="10" spans="1:7" ht="6" customHeight="1">
      <c r="A10" s="264"/>
      <c r="B10" s="264"/>
      <c r="C10" s="264"/>
      <c r="D10" s="264"/>
      <c r="E10" s="264"/>
      <c r="F10" s="264"/>
      <c r="G10" s="264"/>
    </row>
    <row r="11" spans="1:7" ht="15.75" customHeight="1">
      <c r="A11" s="5" t="s">
        <v>1466</v>
      </c>
      <c r="B11" s="264"/>
      <c r="C11" s="264"/>
      <c r="D11" s="264"/>
      <c r="E11" s="264"/>
      <c r="F11" s="264"/>
      <c r="G11" s="264"/>
    </row>
    <row r="12" spans="1:7" ht="15.75" customHeight="1">
      <c r="A12" s="4" t="s">
        <v>1467</v>
      </c>
      <c r="B12" s="264"/>
      <c r="C12" s="264"/>
      <c r="D12" s="264"/>
      <c r="E12" s="264"/>
      <c r="F12" s="264"/>
      <c r="G12" s="264"/>
    </row>
    <row r="13" spans="1:7" ht="6" customHeight="1">
      <c r="A13" s="4"/>
      <c r="B13" s="264"/>
      <c r="C13" s="264"/>
      <c r="D13" s="264"/>
      <c r="E13" s="264"/>
      <c r="F13" s="264"/>
      <c r="G13" s="264"/>
    </row>
    <row r="14" spans="1:7" ht="15.75" customHeight="1">
      <c r="A14" s="5" t="s">
        <v>113</v>
      </c>
      <c r="B14" s="264"/>
      <c r="C14" s="264"/>
      <c r="D14" s="264"/>
      <c r="E14" s="264"/>
      <c r="F14" s="264"/>
      <c r="G14" s="264"/>
    </row>
    <row r="15" spans="1:7" ht="6" customHeight="1">
      <c r="A15" s="4"/>
      <c r="B15" s="264"/>
      <c r="C15" s="264"/>
      <c r="D15" s="264"/>
      <c r="E15" s="264"/>
      <c r="F15" s="264"/>
      <c r="G15" s="264"/>
    </row>
    <row r="16" spans="1:7" ht="15.75" customHeight="1">
      <c r="A16" s="265" t="s">
        <v>1729</v>
      </c>
      <c r="B16" s="264"/>
      <c r="C16" s="264"/>
      <c r="D16" s="264"/>
      <c r="E16" s="264"/>
      <c r="F16" s="264"/>
      <c r="G16" s="264"/>
    </row>
    <row r="17" spans="1:7" ht="6" customHeight="1">
      <c r="A17" s="264"/>
      <c r="B17" s="264"/>
      <c r="C17" s="264"/>
      <c r="D17" s="264"/>
      <c r="E17" s="264"/>
      <c r="F17" s="264"/>
      <c r="G17" s="264"/>
    </row>
    <row r="18" spans="1:7" ht="15.75" customHeight="1">
      <c r="A18" s="14" t="s">
        <v>1468</v>
      </c>
      <c r="B18" s="264"/>
      <c r="C18" s="264"/>
      <c r="D18" s="264"/>
      <c r="E18" s="264"/>
      <c r="F18" s="264"/>
      <c r="G18" s="264"/>
    </row>
    <row r="19" spans="1:7" ht="6" customHeight="1">
      <c r="A19" s="264"/>
      <c r="B19" s="264"/>
      <c r="C19" s="264"/>
      <c r="D19" s="264"/>
      <c r="E19" s="264"/>
      <c r="F19" s="264"/>
      <c r="G19" s="264"/>
    </row>
    <row r="20" spans="1:7" ht="15.75" customHeight="1">
      <c r="A20" s="264"/>
      <c r="B20" s="266" t="s">
        <v>1469</v>
      </c>
      <c r="C20" s="264"/>
      <c r="D20" s="264"/>
      <c r="E20" s="264"/>
      <c r="F20" s="264"/>
      <c r="G20" s="264"/>
    </row>
    <row r="21" spans="1:7" ht="6" customHeight="1">
      <c r="A21" s="22"/>
      <c r="B21" s="264"/>
      <c r="C21" s="264"/>
      <c r="D21" s="264"/>
      <c r="E21" s="264"/>
      <c r="F21" s="264"/>
      <c r="G21" s="264"/>
    </row>
    <row r="22" spans="1:7" ht="15.75" customHeight="1">
      <c r="A22" s="14" t="s">
        <v>1470</v>
      </c>
      <c r="B22" s="264"/>
      <c r="C22" s="264"/>
      <c r="D22" s="264"/>
      <c r="E22" s="264"/>
      <c r="F22" s="264"/>
      <c r="G22" s="264"/>
    </row>
    <row r="23" spans="1:7" ht="6" customHeight="1">
      <c r="A23" s="22"/>
      <c r="B23" s="264"/>
      <c r="C23" s="264"/>
      <c r="D23" s="264"/>
      <c r="E23" s="264"/>
      <c r="F23" s="264"/>
      <c r="G23" s="264"/>
    </row>
    <row r="24" spans="1:7" ht="15.75" customHeight="1">
      <c r="A24" s="267" t="s">
        <v>1471</v>
      </c>
      <c r="B24" s="264"/>
      <c r="C24" s="264"/>
      <c r="D24" s="264"/>
      <c r="E24" s="264"/>
      <c r="F24" s="264"/>
      <c r="G24" s="264"/>
    </row>
    <row r="25" spans="1:7" ht="6" customHeight="1">
      <c r="A25" s="264"/>
      <c r="B25" s="264"/>
      <c r="C25" s="264"/>
      <c r="D25" s="264"/>
      <c r="E25" s="264"/>
      <c r="F25" s="264"/>
      <c r="G25" s="264"/>
    </row>
    <row r="26" spans="1:8" ht="15.75" customHeight="1">
      <c r="A26" s="22" t="s">
        <v>1434</v>
      </c>
      <c r="B26" s="9" t="s">
        <v>1472</v>
      </c>
      <c r="C26" s="268"/>
      <c r="D26" s="268"/>
      <c r="E26" s="74"/>
      <c r="F26" s="74"/>
      <c r="G26" s="153">
        <f>+SQRT((2*B9*E9*(E6-E4)/E4)/((1+B6)/(PI()*H8^2/4)^2-1/(PI()*H7^2/4)^2))</f>
        <v>0.2876994552554655</v>
      </c>
      <c r="H26" s="269" t="s">
        <v>2374</v>
      </c>
    </row>
    <row r="27" spans="1:7" ht="6" customHeight="1">
      <c r="A27" s="264"/>
      <c r="B27" s="264"/>
      <c r="C27" s="264"/>
      <c r="D27" s="264"/>
      <c r="E27" s="264"/>
      <c r="F27" s="264"/>
      <c r="G27" s="264"/>
    </row>
    <row r="28" spans="1:7" ht="15.75" customHeight="1">
      <c r="A28" s="265" t="s">
        <v>1473</v>
      </c>
      <c r="B28" s="264"/>
      <c r="C28" s="264"/>
      <c r="D28" s="264"/>
      <c r="E28" s="264"/>
      <c r="F28" s="264"/>
      <c r="G28" s="264"/>
    </row>
    <row r="29" spans="1:7" ht="6" customHeight="1">
      <c r="A29" s="264"/>
      <c r="B29" s="264"/>
      <c r="C29" s="264"/>
      <c r="D29" s="264"/>
      <c r="E29" s="264"/>
      <c r="F29" s="264"/>
      <c r="G29" s="264"/>
    </row>
    <row r="30" spans="1:7" ht="15.75" customHeight="1">
      <c r="A30" s="14" t="s">
        <v>1474</v>
      </c>
      <c r="B30" s="264"/>
      <c r="C30" s="264"/>
      <c r="D30" s="264"/>
      <c r="E30" s="264"/>
      <c r="F30" s="264"/>
      <c r="G30" s="264"/>
    </row>
    <row r="31" spans="1:7" ht="6" customHeight="1">
      <c r="A31" s="264"/>
      <c r="B31" s="264"/>
      <c r="C31" s="264"/>
      <c r="D31" s="264"/>
      <c r="E31" s="264"/>
      <c r="F31" s="264"/>
      <c r="G31" s="264"/>
    </row>
    <row r="32" spans="1:2" ht="15.75" customHeight="1">
      <c r="A32" s="22" t="s">
        <v>1475</v>
      </c>
      <c r="B32" s="264"/>
    </row>
    <row r="33" spans="1:3" ht="6" customHeight="1">
      <c r="A33" s="22"/>
      <c r="B33" s="264"/>
      <c r="C33" s="75"/>
    </row>
    <row r="34" spans="1:8" ht="15.75" customHeight="1">
      <c r="A34" s="4" t="s">
        <v>1476</v>
      </c>
      <c r="B34" s="264"/>
      <c r="C34" s="23" t="s">
        <v>1477</v>
      </c>
      <c r="D34" s="268"/>
      <c r="E34" s="160"/>
      <c r="F34" s="270"/>
      <c r="G34" s="153">
        <f>+B7*E7+G26^2/((B8*E7*E8)^2*2*B9)</f>
        <v>13.0504033152875</v>
      </c>
      <c r="H34" s="270" t="s">
        <v>699</v>
      </c>
    </row>
    <row r="35" spans="1:7" ht="6" customHeight="1">
      <c r="A35" s="264"/>
      <c r="B35" s="264"/>
      <c r="C35" s="264"/>
      <c r="D35" s="264"/>
      <c r="E35" s="264"/>
      <c r="F35" s="264"/>
      <c r="G35" s="264"/>
    </row>
    <row r="36" spans="1:7" ht="15.75" customHeight="1">
      <c r="A36" s="265" t="s">
        <v>1478</v>
      </c>
      <c r="B36" s="264"/>
      <c r="C36" s="264"/>
      <c r="D36" s="264"/>
      <c r="E36" s="264"/>
      <c r="F36" s="264"/>
      <c r="G36" s="264"/>
    </row>
    <row r="37" spans="1:7" ht="6" customHeight="1">
      <c r="A37" s="264"/>
      <c r="B37" s="264"/>
      <c r="C37" s="264"/>
      <c r="D37" s="264"/>
      <c r="E37" s="264"/>
      <c r="F37" s="264"/>
      <c r="G37" s="264"/>
    </row>
    <row r="38" spans="1:7" ht="15.75" customHeight="1">
      <c r="A38" s="14" t="s">
        <v>1479</v>
      </c>
      <c r="B38" s="264"/>
      <c r="C38" s="264"/>
      <c r="D38" s="264"/>
      <c r="E38" s="264"/>
      <c r="F38" s="264"/>
      <c r="G38" s="264"/>
    </row>
    <row r="39" spans="1:7" ht="6" customHeight="1">
      <c r="A39" s="264"/>
      <c r="B39" s="264"/>
      <c r="C39" s="264"/>
      <c r="D39" s="264"/>
      <c r="E39" s="264"/>
      <c r="F39" s="264"/>
      <c r="G39" s="264"/>
    </row>
    <row r="40" spans="1:7" ht="15.75" customHeight="1">
      <c r="A40" s="266" t="s">
        <v>1480</v>
      </c>
      <c r="B40" s="264"/>
      <c r="C40" s="264"/>
      <c r="D40" s="264"/>
      <c r="E40" s="264"/>
      <c r="F40" s="264"/>
      <c r="G40" s="264"/>
    </row>
    <row r="41" spans="3:7" ht="15.75" customHeight="1">
      <c r="C41" s="266" t="s">
        <v>1481</v>
      </c>
      <c r="D41" s="264"/>
      <c r="E41" s="264"/>
      <c r="F41" s="264"/>
      <c r="G41" s="264"/>
    </row>
    <row r="42" spans="3:7" ht="6" customHeight="1">
      <c r="C42" s="266"/>
      <c r="D42" s="264"/>
      <c r="E42" s="264"/>
      <c r="F42" s="264"/>
      <c r="G42" s="264"/>
    </row>
    <row r="43" spans="1:7" ht="15.75" customHeight="1">
      <c r="A43" s="14" t="s">
        <v>1482</v>
      </c>
      <c r="B43" s="264"/>
      <c r="C43" s="264"/>
      <c r="D43" s="264"/>
      <c r="E43" s="264"/>
      <c r="F43" s="264"/>
      <c r="G43" s="264"/>
    </row>
    <row r="44" spans="1:7" ht="6" customHeight="1">
      <c r="A44" s="264"/>
      <c r="B44" s="264"/>
      <c r="C44" s="264"/>
      <c r="D44" s="264"/>
      <c r="E44" s="264"/>
      <c r="F44" s="264"/>
      <c r="G44" s="264"/>
    </row>
    <row r="45" spans="1:7" ht="15.75" customHeight="1">
      <c r="A45" s="267" t="s">
        <v>1483</v>
      </c>
      <c r="B45" s="264"/>
      <c r="C45" s="264"/>
      <c r="D45" s="264"/>
      <c r="E45" s="264"/>
      <c r="F45" s="264"/>
      <c r="G45" s="264"/>
    </row>
    <row r="46" spans="4:8" ht="15.75" customHeight="1">
      <c r="D46" s="264"/>
      <c r="E46" s="264"/>
      <c r="F46" s="264"/>
      <c r="H46" s="271" t="s">
        <v>1484</v>
      </c>
    </row>
    <row r="47" spans="1:7" ht="6" customHeight="1">
      <c r="A47" s="267"/>
      <c r="B47" s="264"/>
      <c r="C47" s="264"/>
      <c r="D47" s="264"/>
      <c r="E47" s="264"/>
      <c r="F47" s="264"/>
      <c r="G47" s="264"/>
    </row>
    <row r="48" spans="1:9" ht="15.75" customHeight="1">
      <c r="A48" s="4" t="s">
        <v>1485</v>
      </c>
      <c r="C48" s="215">
        <f>4*$G$26/(PI()*$E$5*H7)</f>
        <v>530884.5267101785</v>
      </c>
      <c r="D48" s="272"/>
      <c r="F48" s="4" t="s">
        <v>1486</v>
      </c>
      <c r="H48" s="215">
        <f>4*$G$26/(PI()*$E$5*H8)</f>
        <v>796326.7900652677</v>
      </c>
      <c r="I48" s="264"/>
    </row>
    <row r="49" spans="2:9" ht="15.75" customHeight="1">
      <c r="B49" s="2" t="s">
        <v>1487</v>
      </c>
      <c r="C49" s="3">
        <f>+H9/H7</f>
        <v>0.0020000000000000005</v>
      </c>
      <c r="D49" s="264"/>
      <c r="G49" s="2" t="s">
        <v>1488</v>
      </c>
      <c r="H49" s="1">
        <f>+H9/H8</f>
        <v>0.003</v>
      </c>
      <c r="I49" s="264"/>
    </row>
    <row r="50" spans="2:9" ht="15.75" customHeight="1">
      <c r="B50" s="2" t="s">
        <v>1489</v>
      </c>
      <c r="C50" s="19">
        <v>0.02375077433408272</v>
      </c>
      <c r="D50" s="84" t="s">
        <v>1490</v>
      </c>
      <c r="G50" s="2" t="s">
        <v>1491</v>
      </c>
      <c r="H50" s="19">
        <v>0.02631324282509489</v>
      </c>
      <c r="I50" s="29" t="s">
        <v>55</v>
      </c>
    </row>
    <row r="51" spans="1:9" ht="15.75" customHeight="1">
      <c r="A51" s="125" t="s">
        <v>1492</v>
      </c>
      <c r="B51" s="264"/>
      <c r="C51" s="273">
        <f>1/SQRT(C50)+2*LOG10(2.51/(C48*SQRT(C50))+C49/3.71)</f>
        <v>0.00013818750151450843</v>
      </c>
      <c r="D51" s="264"/>
      <c r="F51" s="125" t="s">
        <v>1493</v>
      </c>
      <c r="H51" s="273">
        <f>1/SQRT(H50)+2*LOG10(2.51/(H48*SQRT(H50))+H49/3.71)</f>
        <v>0.0008320707454707588</v>
      </c>
      <c r="I51" s="264"/>
    </row>
    <row r="52" spans="1:9" ht="15.75" customHeight="1">
      <c r="A52" s="125" t="s">
        <v>902</v>
      </c>
      <c r="B52" s="273"/>
      <c r="C52" s="22"/>
      <c r="D52" s="264"/>
      <c r="F52" s="125" t="s">
        <v>902</v>
      </c>
      <c r="H52" s="264"/>
      <c r="I52" s="273"/>
    </row>
    <row r="53" spans="1:7" ht="6" customHeight="1">
      <c r="A53" s="264"/>
      <c r="B53" s="264"/>
      <c r="C53" s="264"/>
      <c r="D53" s="264"/>
      <c r="E53" s="264"/>
      <c r="F53" s="264"/>
      <c r="G53" s="264"/>
    </row>
    <row r="54" spans="1:7" ht="15.75" customHeight="1">
      <c r="A54" s="4" t="s">
        <v>1434</v>
      </c>
      <c r="B54" s="2" t="s">
        <v>1494</v>
      </c>
      <c r="C54" s="274">
        <f>+G34+0.5*$G$26^2/(2*$B$9*(PI()*H7^2/4)^2)+(C50/H7)*$G$26^2/(2*$B$9*(PI()*H7^2/4)^2)*H5+(H50/H8)*$G$26^2/(2*$B$9*(PI()*H8^2/4)^2)*H6+B6*$G$26^2/(2*$B$9*(PI()*H8^2/4)^2)+$G$26^2/(2*$B$9*(PI()*H8^2/4)^2)-B4</f>
        <v>42.299353873622934</v>
      </c>
      <c r="D54" s="275" t="s">
        <v>699</v>
      </c>
      <c r="E54" s="264"/>
      <c r="F54" s="264"/>
      <c r="G54" s="264"/>
    </row>
    <row r="55" spans="1:7" ht="6" customHeight="1">
      <c r="A55" s="264"/>
      <c r="B55" s="264"/>
      <c r="C55" s="264"/>
      <c r="D55" s="264"/>
      <c r="E55" s="264"/>
      <c r="F55" s="264"/>
      <c r="G55" s="264"/>
    </row>
    <row r="56" spans="1:7" ht="15.75" customHeight="1">
      <c r="A56" s="22" t="s">
        <v>1495</v>
      </c>
      <c r="B56" s="264"/>
      <c r="C56" s="264"/>
      <c r="D56" s="264"/>
      <c r="E56" s="264"/>
      <c r="F56" s="264"/>
      <c r="G56" s="264"/>
    </row>
    <row r="57" spans="1:7" ht="6" customHeight="1">
      <c r="A57" s="264"/>
      <c r="B57" s="264"/>
      <c r="C57" s="264"/>
      <c r="D57" s="264"/>
      <c r="E57" s="264"/>
      <c r="F57" s="264"/>
      <c r="G57" s="264"/>
    </row>
    <row r="58" spans="1:7" ht="15.75" customHeight="1">
      <c r="A58" s="264"/>
      <c r="B58" s="23" t="s">
        <v>1213</v>
      </c>
      <c r="C58" s="268"/>
      <c r="D58" s="276">
        <f>+E4*G26*C54/H4</f>
        <v>127292.98116186059</v>
      </c>
      <c r="E58" s="270" t="s">
        <v>1214</v>
      </c>
      <c r="F58" s="264"/>
      <c r="G58" s="264"/>
    </row>
    <row r="59" spans="1:7" ht="6" customHeight="1">
      <c r="A59" s="264"/>
      <c r="B59" s="264"/>
      <c r="C59" s="264"/>
      <c r="D59" s="264"/>
      <c r="E59" s="264"/>
      <c r="F59" s="264"/>
      <c r="G59" s="264"/>
    </row>
    <row r="60" spans="1:7" ht="15.75" customHeight="1">
      <c r="A60" s="265" t="s">
        <v>1215</v>
      </c>
      <c r="B60" s="264"/>
      <c r="C60" s="264"/>
      <c r="D60" s="264"/>
      <c r="E60" s="264"/>
      <c r="F60" s="264"/>
      <c r="G60" s="264"/>
    </row>
    <row r="61" spans="1:7" ht="6" customHeight="1">
      <c r="A61" s="264"/>
      <c r="B61" s="264"/>
      <c r="C61" s="264"/>
      <c r="D61" s="264"/>
      <c r="E61" s="264"/>
      <c r="F61" s="264"/>
      <c r="G61" s="264"/>
    </row>
    <row r="62" spans="1:8" ht="15.75" customHeight="1">
      <c r="A62" s="9" t="s">
        <v>1216</v>
      </c>
      <c r="B62" s="74"/>
      <c r="C62" s="11">
        <f>+(G34-B5)*E4</f>
        <v>51387.91400843044</v>
      </c>
      <c r="D62" s="23" t="s">
        <v>700</v>
      </c>
      <c r="E62" s="1" t="s">
        <v>1217</v>
      </c>
      <c r="F62" s="1" t="s">
        <v>1218</v>
      </c>
      <c r="G62" s="3">
        <f>+C62/E4</f>
        <v>6.5504033152875</v>
      </c>
      <c r="H62" s="22" t="s">
        <v>699</v>
      </c>
    </row>
    <row r="63" spans="1:7" ht="6" customHeight="1">
      <c r="A63" s="22"/>
      <c r="B63" s="22"/>
      <c r="C63" s="277"/>
      <c r="D63" s="22"/>
      <c r="E63" s="1"/>
      <c r="F63" s="22"/>
      <c r="G63" s="3"/>
    </row>
    <row r="64" spans="1:9" ht="6" customHeight="1">
      <c r="A64" s="278"/>
      <c r="B64" s="278"/>
      <c r="C64" s="278"/>
      <c r="D64" s="278"/>
      <c r="E64" s="278"/>
      <c r="F64" s="278"/>
      <c r="G64" s="278"/>
      <c r="H64" s="279"/>
      <c r="I64" s="279"/>
    </row>
    <row r="65" ht="6" customHeight="1"/>
    <row r="66" ht="15.75" customHeight="1">
      <c r="A66" s="85" t="s">
        <v>1219</v>
      </c>
    </row>
    <row r="67" ht="6" customHeight="1">
      <c r="A67" s="1"/>
    </row>
    <row r="68" ht="15.75" customHeight="1">
      <c r="A68" s="5" t="s">
        <v>112</v>
      </c>
    </row>
    <row r="69" ht="6" customHeight="1"/>
    <row r="70" spans="1:9" ht="15.75" customHeight="1">
      <c r="A70" s="1" t="s">
        <v>1726</v>
      </c>
      <c r="B70" s="3">
        <v>25</v>
      </c>
      <c r="C70" s="22" t="s">
        <v>699</v>
      </c>
      <c r="D70" s="2" t="s">
        <v>1220</v>
      </c>
      <c r="E70" s="1">
        <v>0.6</v>
      </c>
      <c r="F70" s="22"/>
      <c r="G70" s="1" t="s">
        <v>892</v>
      </c>
      <c r="H70" s="3">
        <v>30</v>
      </c>
      <c r="I70" s="4" t="s">
        <v>699</v>
      </c>
    </row>
    <row r="71" spans="1:9" ht="15.75" customHeight="1">
      <c r="A71" s="1" t="s">
        <v>2025</v>
      </c>
      <c r="B71" s="3">
        <v>9</v>
      </c>
      <c r="C71" s="22" t="s">
        <v>699</v>
      </c>
      <c r="D71" s="1" t="s">
        <v>1017</v>
      </c>
      <c r="E71" s="1">
        <v>9.806</v>
      </c>
      <c r="F71" s="25" t="s">
        <v>1018</v>
      </c>
      <c r="G71" s="1" t="s">
        <v>894</v>
      </c>
      <c r="H71" s="3">
        <v>60</v>
      </c>
      <c r="I71" s="4" t="s">
        <v>699</v>
      </c>
    </row>
    <row r="72" spans="1:9" ht="15.75" customHeight="1">
      <c r="A72" s="1" t="s">
        <v>1221</v>
      </c>
      <c r="B72" s="3">
        <v>0</v>
      </c>
      <c r="C72" s="22" t="s">
        <v>699</v>
      </c>
      <c r="D72" s="1" t="s">
        <v>714</v>
      </c>
      <c r="E72" s="3">
        <v>0.15</v>
      </c>
      <c r="F72" s="4" t="s">
        <v>699</v>
      </c>
      <c r="G72" s="1" t="s">
        <v>2515</v>
      </c>
      <c r="H72" s="3">
        <v>0.15</v>
      </c>
      <c r="I72" s="4" t="s">
        <v>699</v>
      </c>
    </row>
    <row r="73" spans="1:9" ht="15.75" customHeight="1">
      <c r="A73" s="2" t="s">
        <v>698</v>
      </c>
      <c r="B73" s="68">
        <v>6668</v>
      </c>
      <c r="C73" s="25" t="s">
        <v>713</v>
      </c>
      <c r="D73" s="2" t="s">
        <v>702</v>
      </c>
      <c r="E73" s="3">
        <v>0.03</v>
      </c>
      <c r="F73" s="22" t="s">
        <v>699</v>
      </c>
      <c r="G73" s="1" t="s">
        <v>2516</v>
      </c>
      <c r="H73" s="3">
        <v>0.4</v>
      </c>
      <c r="I73" s="4" t="s">
        <v>699</v>
      </c>
    </row>
    <row r="74" spans="1:9" ht="15.75" customHeight="1">
      <c r="A74" s="2" t="s">
        <v>528</v>
      </c>
      <c r="B74" s="138">
        <v>4.4E-07</v>
      </c>
      <c r="C74" s="25" t="s">
        <v>893</v>
      </c>
      <c r="D74" s="2" t="s">
        <v>1222</v>
      </c>
      <c r="E74" s="1">
        <v>0.8</v>
      </c>
      <c r="G74" s="2" t="s">
        <v>1223</v>
      </c>
      <c r="H74" s="215">
        <f>2*0.0001</f>
        <v>0.0002</v>
      </c>
      <c r="I74" s="4" t="s">
        <v>699</v>
      </c>
    </row>
    <row r="75" spans="1:3" ht="15.75" customHeight="1">
      <c r="A75" s="2" t="s">
        <v>2277</v>
      </c>
      <c r="B75" s="1">
        <v>133362</v>
      </c>
      <c r="C75" s="25" t="s">
        <v>713</v>
      </c>
    </row>
    <row r="76" ht="6" customHeight="1">
      <c r="G76" s="22"/>
    </row>
    <row r="77" spans="1:7" ht="15.75" customHeight="1">
      <c r="A77" s="5" t="s">
        <v>1224</v>
      </c>
      <c r="G77" s="22"/>
    </row>
    <row r="78" spans="1:7" ht="15.75" customHeight="1">
      <c r="A78" s="4" t="s">
        <v>1225</v>
      </c>
      <c r="B78" s="1"/>
      <c r="C78" s="25"/>
      <c r="D78" s="2"/>
      <c r="E78" s="215"/>
      <c r="F78" s="4"/>
      <c r="G78" s="22"/>
    </row>
    <row r="79" spans="1:7" ht="6" customHeight="1">
      <c r="A79" s="4"/>
      <c r="B79" s="1"/>
      <c r="C79" s="25"/>
      <c r="D79" s="2"/>
      <c r="E79" s="215"/>
      <c r="F79" s="4"/>
      <c r="G79" s="22"/>
    </row>
    <row r="80" spans="1:7" ht="15.75" customHeight="1">
      <c r="A80" s="5" t="s">
        <v>113</v>
      </c>
      <c r="B80" s="22"/>
      <c r="C80" s="280"/>
      <c r="D80" s="22"/>
      <c r="E80" s="22"/>
      <c r="F80" s="22"/>
      <c r="G80" s="22"/>
    </row>
    <row r="81" spans="1:7" ht="6" customHeight="1">
      <c r="A81" s="21"/>
      <c r="B81" s="22"/>
      <c r="C81" s="280"/>
      <c r="D81" s="22"/>
      <c r="E81" s="22"/>
      <c r="F81" s="22"/>
      <c r="G81" s="22"/>
    </row>
    <row r="82" spans="1:7" ht="15.75" customHeight="1">
      <c r="A82" s="265" t="s">
        <v>1226</v>
      </c>
      <c r="B82" s="264"/>
      <c r="C82" s="264"/>
      <c r="D82" s="264"/>
      <c r="E82" s="264"/>
      <c r="F82" s="264"/>
      <c r="G82" s="264"/>
    </row>
    <row r="83" spans="1:7" ht="6" customHeight="1">
      <c r="A83" s="5"/>
      <c r="B83" s="264"/>
      <c r="C83" s="264"/>
      <c r="D83" s="272"/>
      <c r="E83" s="264"/>
      <c r="F83" s="264"/>
      <c r="G83" s="264"/>
    </row>
    <row r="84" spans="1:7" ht="15.75" customHeight="1">
      <c r="A84" s="14" t="s">
        <v>1227</v>
      </c>
      <c r="B84" s="264"/>
      <c r="C84" s="264"/>
      <c r="D84" s="264"/>
      <c r="E84" s="264"/>
      <c r="F84" s="264"/>
      <c r="G84" s="264"/>
    </row>
    <row r="85" spans="1:7" ht="6" customHeight="1">
      <c r="A85" s="264"/>
      <c r="B85" s="264"/>
      <c r="C85" s="264"/>
      <c r="D85" s="264"/>
      <c r="E85" s="264"/>
      <c r="F85" s="264"/>
      <c r="G85" s="264"/>
    </row>
    <row r="86" spans="1:7" ht="15.75" customHeight="1">
      <c r="A86" s="264"/>
      <c r="B86" s="266" t="s">
        <v>1228</v>
      </c>
      <c r="C86" s="264"/>
      <c r="D86" s="264"/>
      <c r="E86" s="264"/>
      <c r="F86" s="264"/>
      <c r="G86" s="264"/>
    </row>
    <row r="87" spans="1:7" ht="6" customHeight="1">
      <c r="A87" s="264"/>
      <c r="B87" s="266"/>
      <c r="C87" s="264"/>
      <c r="D87" s="264"/>
      <c r="E87" s="264"/>
      <c r="F87" s="264"/>
      <c r="G87" s="264"/>
    </row>
    <row r="88" spans="1:7" ht="15.75" customHeight="1">
      <c r="A88" s="14" t="s">
        <v>1229</v>
      </c>
      <c r="B88" s="266"/>
      <c r="C88" s="264"/>
      <c r="D88" s="264"/>
      <c r="E88" s="264"/>
      <c r="F88" s="264"/>
      <c r="G88" s="264"/>
    </row>
    <row r="89" spans="1:7" ht="6" customHeight="1">
      <c r="A89" s="22"/>
      <c r="B89" s="264"/>
      <c r="C89" s="264"/>
      <c r="D89" s="264"/>
      <c r="E89" s="264"/>
      <c r="F89" s="264"/>
      <c r="G89" s="264"/>
    </row>
    <row r="90" spans="2:7" ht="15.75" customHeight="1">
      <c r="B90" s="267" t="s">
        <v>1903</v>
      </c>
      <c r="C90" s="264"/>
      <c r="D90" s="264"/>
      <c r="E90" s="264"/>
      <c r="F90" s="264"/>
      <c r="G90" s="22"/>
    </row>
    <row r="91" spans="1:7" ht="6" customHeight="1">
      <c r="A91" s="264"/>
      <c r="B91" s="264"/>
      <c r="C91" s="264"/>
      <c r="D91" s="264"/>
      <c r="E91" s="264"/>
      <c r="F91" s="264"/>
      <c r="G91" s="264"/>
    </row>
    <row r="92" spans="1:8" ht="15.75" customHeight="1">
      <c r="A92" s="22" t="s">
        <v>1434</v>
      </c>
      <c r="B92" s="9" t="s">
        <v>1904</v>
      </c>
      <c r="C92" s="268"/>
      <c r="D92" s="268"/>
      <c r="E92" s="268"/>
      <c r="F92" s="74"/>
      <c r="G92" s="153">
        <f>+SQRT((2*E71*E73*(B75-B73)/B73)/(1/(PI()*H72^2/4)^2-1/(PI()*H73^2/4)^2-(1/(PI()*H72^2/4)-1/(PI()*H73^2/4))^2))</f>
        <v>0.12018121054836105</v>
      </c>
      <c r="H92" s="23" t="s">
        <v>2374</v>
      </c>
    </row>
    <row r="93" spans="1:7" ht="6" customHeight="1">
      <c r="A93" s="22"/>
      <c r="B93" s="22"/>
      <c r="C93" s="22"/>
      <c r="D93" s="22"/>
      <c r="E93" s="22"/>
      <c r="F93" s="22"/>
      <c r="G93" s="22"/>
    </row>
    <row r="94" spans="1:7" ht="15.75" customHeight="1">
      <c r="A94" s="265" t="s">
        <v>1473</v>
      </c>
      <c r="B94" s="264"/>
      <c r="C94" s="264"/>
      <c r="D94" s="264"/>
      <c r="E94" s="264"/>
      <c r="F94" s="264"/>
      <c r="G94" s="264"/>
    </row>
    <row r="95" spans="1:7" ht="6" customHeight="1">
      <c r="A95" s="266"/>
      <c r="B95" s="264"/>
      <c r="C95" s="264"/>
      <c r="D95" s="264"/>
      <c r="E95" s="264"/>
      <c r="F95" s="264"/>
      <c r="G95" s="264"/>
    </row>
    <row r="96" spans="1:7" ht="15.75" customHeight="1">
      <c r="A96" s="14" t="s">
        <v>1905</v>
      </c>
      <c r="B96" s="264"/>
      <c r="C96" s="264"/>
      <c r="D96" s="264"/>
      <c r="E96" s="264"/>
      <c r="F96" s="264"/>
      <c r="G96" s="264"/>
    </row>
    <row r="97" spans="1:7" ht="6" customHeight="1">
      <c r="A97" s="264"/>
      <c r="B97" s="264"/>
      <c r="C97" s="264"/>
      <c r="D97" s="264"/>
      <c r="E97" s="264"/>
      <c r="F97" s="264"/>
      <c r="G97" s="264"/>
    </row>
    <row r="98" spans="1:9" ht="15.75" customHeight="1">
      <c r="A98" s="22" t="s">
        <v>1906</v>
      </c>
      <c r="B98" s="264"/>
      <c r="D98" s="75" t="s">
        <v>1907</v>
      </c>
      <c r="E98" s="23" t="s">
        <v>1908</v>
      </c>
      <c r="F98" s="74"/>
      <c r="G98" s="74"/>
      <c r="H98" s="153">
        <f>G92^2/(2*E71*(PI()*E72^2/4)^2*E70^2)</f>
        <v>6.5509451645024495</v>
      </c>
      <c r="I98" s="270" t="s">
        <v>699</v>
      </c>
    </row>
    <row r="99" spans="1:7" ht="15.75" customHeight="1">
      <c r="A99" s="22"/>
      <c r="B99" s="22"/>
      <c r="C99" s="22"/>
      <c r="D99" s="22"/>
      <c r="E99" s="22"/>
      <c r="F99" s="22"/>
      <c r="G99" s="22"/>
    </row>
    <row r="100" spans="1:7" ht="15.75" customHeight="1">
      <c r="A100" s="265" t="s">
        <v>2499</v>
      </c>
      <c r="B100" s="264"/>
      <c r="C100" s="264"/>
      <c r="D100" s="264"/>
      <c r="E100" s="264"/>
      <c r="F100" s="264"/>
      <c r="G100" s="264"/>
    </row>
    <row r="101" spans="1:7" ht="6" customHeight="1">
      <c r="A101" s="264"/>
      <c r="B101" s="264"/>
      <c r="C101" s="264"/>
      <c r="D101" s="264"/>
      <c r="E101" s="264"/>
      <c r="F101" s="264"/>
      <c r="G101" s="264"/>
    </row>
    <row r="102" spans="1:7" ht="15.75" customHeight="1">
      <c r="A102" s="14" t="s">
        <v>2245</v>
      </c>
      <c r="B102" s="264"/>
      <c r="C102" s="264"/>
      <c r="D102" s="264"/>
      <c r="E102" s="264"/>
      <c r="F102" s="264"/>
      <c r="G102" s="264"/>
    </row>
    <row r="103" spans="1:7" ht="6" customHeight="1">
      <c r="A103" s="264"/>
      <c r="B103" s="264"/>
      <c r="C103" s="264"/>
      <c r="D103" s="264"/>
      <c r="E103" s="264"/>
      <c r="F103" s="264"/>
      <c r="G103" s="264"/>
    </row>
    <row r="104" spans="1:7" ht="15.75" customHeight="1">
      <c r="A104" s="22" t="s">
        <v>2246</v>
      </c>
      <c r="B104" s="264"/>
      <c r="C104" s="264"/>
      <c r="D104" s="264"/>
      <c r="E104" s="264"/>
      <c r="F104" s="264"/>
      <c r="G104" s="264"/>
    </row>
    <row r="105" spans="1:7" ht="6" customHeight="1">
      <c r="A105" s="264"/>
      <c r="B105" s="264"/>
      <c r="C105" s="264"/>
      <c r="D105" s="264"/>
      <c r="E105" s="264"/>
      <c r="F105" s="264"/>
      <c r="G105" s="264"/>
    </row>
    <row r="106" spans="1:7" ht="15.75" customHeight="1">
      <c r="A106" s="4" t="s">
        <v>867</v>
      </c>
      <c r="B106" s="264"/>
      <c r="C106" s="264"/>
      <c r="D106" s="264"/>
      <c r="E106" s="264"/>
      <c r="F106" s="264"/>
      <c r="G106" s="264"/>
    </row>
    <row r="107" spans="1:7" ht="6" customHeight="1">
      <c r="A107" s="264"/>
      <c r="B107" s="264"/>
      <c r="C107" s="264"/>
      <c r="D107" s="264"/>
      <c r="E107" s="264"/>
      <c r="F107" s="264"/>
      <c r="G107" s="264"/>
    </row>
    <row r="108" spans="1:7" ht="15.75" customHeight="1">
      <c r="A108" s="267" t="s">
        <v>2247</v>
      </c>
      <c r="B108" s="264"/>
      <c r="C108" s="264"/>
      <c r="D108" s="264"/>
      <c r="E108" s="264"/>
      <c r="F108" s="264"/>
      <c r="G108" s="264"/>
    </row>
    <row r="109" spans="1:7" ht="6" customHeight="1">
      <c r="A109" s="267"/>
      <c r="B109" s="264"/>
      <c r="C109" s="264"/>
      <c r="D109" s="264"/>
      <c r="E109" s="264"/>
      <c r="F109" s="264"/>
      <c r="G109" s="264"/>
    </row>
    <row r="110" spans="1:9" ht="15.75" customHeight="1">
      <c r="A110" s="4" t="s">
        <v>2248</v>
      </c>
      <c r="C110" s="215">
        <f>4*$G$92/(PI()*$B$74*H72)</f>
        <v>2318476.815216908</v>
      </c>
      <c r="D110" s="264"/>
      <c r="F110" s="4" t="s">
        <v>1486</v>
      </c>
      <c r="H110" s="215">
        <f>4*$G$92/(PI()*$B$74*H73)</f>
        <v>869428.8057063406</v>
      </c>
      <c r="I110" s="264"/>
    </row>
    <row r="111" spans="2:9" ht="15.75" customHeight="1">
      <c r="B111" s="2" t="s">
        <v>1487</v>
      </c>
      <c r="C111" s="3">
        <f>+H74/H72</f>
        <v>0.0013333333333333335</v>
      </c>
      <c r="D111" s="264"/>
      <c r="G111" s="2" t="s">
        <v>1488</v>
      </c>
      <c r="H111" s="3">
        <f>+H74/H73</f>
        <v>0.0005</v>
      </c>
      <c r="I111" s="264"/>
    </row>
    <row r="112" spans="2:9" ht="15.75" customHeight="1">
      <c r="B112" s="2" t="s">
        <v>1489</v>
      </c>
      <c r="C112" s="19">
        <v>0.021178434779312257</v>
      </c>
      <c r="D112" s="29" t="s">
        <v>55</v>
      </c>
      <c r="G112" s="2" t="s">
        <v>1491</v>
      </c>
      <c r="H112" s="19">
        <v>0.017269209919136424</v>
      </c>
      <c r="I112" s="29" t="s">
        <v>300</v>
      </c>
    </row>
    <row r="113" spans="1:9" ht="15.75" customHeight="1">
      <c r="A113" s="125" t="s">
        <v>2249</v>
      </c>
      <c r="C113" s="273">
        <f>1/SQRT(C112)+2*LOG10(2.51/(C110*SQRT(C112))+C111/3.71)</f>
        <v>0.0004494696756411898</v>
      </c>
      <c r="D113" s="264"/>
      <c r="F113" s="125" t="s">
        <v>901</v>
      </c>
      <c r="H113" s="273">
        <f>1/SQRT(H112)+2*LOG10(2.51/(H110*SQRT(H112))+H111/3.71)</f>
        <v>-8.90056587188326E-06</v>
      </c>
      <c r="I113" s="264"/>
    </row>
    <row r="114" spans="1:9" ht="15.75" customHeight="1">
      <c r="A114" s="125" t="s">
        <v>902</v>
      </c>
      <c r="B114" s="264"/>
      <c r="C114" s="264"/>
      <c r="D114" s="264"/>
      <c r="F114" s="125" t="s">
        <v>902</v>
      </c>
      <c r="H114" s="264"/>
      <c r="I114" s="264"/>
    </row>
    <row r="115" spans="1:7" ht="6" customHeight="1">
      <c r="A115" s="14"/>
      <c r="B115" s="264"/>
      <c r="C115" s="264"/>
      <c r="D115" s="264"/>
      <c r="E115" s="264"/>
      <c r="F115" s="14"/>
      <c r="G115" s="264"/>
    </row>
    <row r="116" spans="1:7" ht="15.75" customHeight="1">
      <c r="A116" s="4" t="s">
        <v>1434</v>
      </c>
      <c r="B116" s="2" t="s">
        <v>2250</v>
      </c>
      <c r="C116" s="3">
        <f>+B70-(C112/H72)*G92^2/(2*E71*(PI()*H72^2/4)^2)*H70-G92^2/(2*E71)*(1/(PI()*H72^2/4)-1/(PI()*H73^2/4))^2-(H112/H73)*G92^2/(2*E71*(PI()*H73^2/4)^2)*H71-G92^2/(2*E71*(PI()*H73^2/4)^2)-H98</f>
        <v>6.550724620903322</v>
      </c>
      <c r="D116" s="22" t="s">
        <v>699</v>
      </c>
      <c r="E116" s="351"/>
      <c r="F116" s="14"/>
      <c r="G116" s="264"/>
    </row>
    <row r="117" spans="1:7" ht="6" customHeight="1">
      <c r="A117" s="75"/>
      <c r="B117" s="2"/>
      <c r="C117" s="3"/>
      <c r="D117" s="22"/>
      <c r="E117" s="264"/>
      <c r="F117" s="14"/>
      <c r="G117" s="264"/>
    </row>
    <row r="118" spans="1:7" ht="15.75" customHeight="1">
      <c r="A118" s="22" t="s">
        <v>2251</v>
      </c>
      <c r="B118" s="2"/>
      <c r="C118" s="3"/>
      <c r="D118" s="22"/>
      <c r="E118" s="264"/>
      <c r="F118" s="14"/>
      <c r="G118" s="264"/>
    </row>
    <row r="119" spans="1:7" ht="6" customHeight="1">
      <c r="A119" s="14"/>
      <c r="B119" s="264"/>
      <c r="C119" s="264"/>
      <c r="D119" s="264"/>
      <c r="E119" s="264"/>
      <c r="F119" s="14"/>
      <c r="G119" s="264"/>
    </row>
    <row r="120" spans="1:7" ht="15.75" customHeight="1">
      <c r="A120" s="264"/>
      <c r="B120" s="23" t="s">
        <v>2252</v>
      </c>
      <c r="C120" s="268"/>
      <c r="D120" s="276">
        <f>+E74*B73*G92*C116</f>
        <v>4199.634505131182</v>
      </c>
      <c r="E120" s="270" t="s">
        <v>1214</v>
      </c>
      <c r="F120" s="264"/>
      <c r="G120" s="264"/>
    </row>
    <row r="121" spans="1:7" ht="6" customHeight="1">
      <c r="A121" s="264"/>
      <c r="B121" s="264"/>
      <c r="C121" s="264"/>
      <c r="D121" s="264"/>
      <c r="E121" s="264"/>
      <c r="F121" s="264"/>
      <c r="G121" s="264"/>
    </row>
    <row r="122" spans="1:7" ht="15.75" customHeight="1">
      <c r="A122" s="265" t="s">
        <v>1215</v>
      </c>
      <c r="B122" s="264"/>
      <c r="C122" s="264"/>
      <c r="D122" s="264"/>
      <c r="E122" s="264"/>
      <c r="F122" s="264"/>
      <c r="G122" s="264"/>
    </row>
    <row r="123" spans="1:7" ht="15.75" customHeight="1">
      <c r="A123" s="264"/>
      <c r="B123" s="264"/>
      <c r="C123" s="264"/>
      <c r="D123" s="264"/>
      <c r="E123" s="264"/>
      <c r="F123" s="264"/>
      <c r="G123" s="264"/>
    </row>
    <row r="124" spans="1:8" ht="15.75" customHeight="1">
      <c r="A124" s="9" t="s">
        <v>2253</v>
      </c>
      <c r="B124" s="74"/>
      <c r="C124" s="11">
        <f>+(H98-B71)*B73</f>
        <v>-16330.297643097667</v>
      </c>
      <c r="D124" s="23" t="s">
        <v>700</v>
      </c>
      <c r="E124" s="75" t="s">
        <v>1217</v>
      </c>
      <c r="F124" s="1" t="s">
        <v>2254</v>
      </c>
      <c r="G124" s="3">
        <f>+C124/B73</f>
        <v>-2.4490548354975505</v>
      </c>
      <c r="H124" s="22" t="s">
        <v>699</v>
      </c>
    </row>
    <row r="125" spans="1:7" ht="6" customHeight="1">
      <c r="A125" s="264"/>
      <c r="B125" s="264"/>
      <c r="C125" s="264"/>
      <c r="D125" s="264"/>
      <c r="E125" s="264"/>
      <c r="F125" s="22"/>
      <c r="G125" s="264"/>
    </row>
    <row r="126" spans="1:9" ht="6" customHeight="1">
      <c r="A126" s="281"/>
      <c r="B126" s="281"/>
      <c r="C126" s="281"/>
      <c r="D126" s="281"/>
      <c r="E126" s="281"/>
      <c r="F126" s="281"/>
      <c r="G126" s="281"/>
      <c r="H126" s="131"/>
      <c r="I126" s="131"/>
    </row>
    <row r="127" ht="6" customHeight="1"/>
    <row r="128" ht="15.75" customHeight="1">
      <c r="A128" s="85" t="s">
        <v>2255</v>
      </c>
    </row>
    <row r="129" ht="6" customHeight="1">
      <c r="A129" s="1"/>
    </row>
    <row r="130" ht="15.75" customHeight="1">
      <c r="A130" s="5" t="s">
        <v>112</v>
      </c>
    </row>
    <row r="131" ht="6" customHeight="1">
      <c r="A131" s="5"/>
    </row>
    <row r="132" spans="1:9" ht="15.75" customHeight="1">
      <c r="A132" s="1" t="s">
        <v>2256</v>
      </c>
      <c r="B132" s="3">
        <v>9</v>
      </c>
      <c r="C132" s="22" t="s">
        <v>699</v>
      </c>
      <c r="D132" s="1" t="s">
        <v>2515</v>
      </c>
      <c r="E132" s="3">
        <v>0.25</v>
      </c>
      <c r="F132" s="4" t="s">
        <v>699</v>
      </c>
      <c r="G132" s="1" t="s">
        <v>2257</v>
      </c>
      <c r="H132" s="3">
        <v>0.15</v>
      </c>
      <c r="I132" s="4" t="s">
        <v>699</v>
      </c>
    </row>
    <row r="133" spans="1:8" ht="15.75" customHeight="1">
      <c r="A133" s="1" t="s">
        <v>2382</v>
      </c>
      <c r="B133" s="3">
        <v>11.5</v>
      </c>
      <c r="C133" s="22" t="s">
        <v>699</v>
      </c>
      <c r="D133" s="1" t="s">
        <v>2516</v>
      </c>
      <c r="E133" s="3">
        <v>0.2</v>
      </c>
      <c r="F133" s="4" t="s">
        <v>699</v>
      </c>
      <c r="G133" s="1" t="s">
        <v>1353</v>
      </c>
      <c r="H133" s="1">
        <v>0.8</v>
      </c>
    </row>
    <row r="134" spans="1:8" ht="15.75" customHeight="1">
      <c r="A134" s="1" t="s">
        <v>1726</v>
      </c>
      <c r="B134" s="3">
        <v>13</v>
      </c>
      <c r="C134" s="22" t="s">
        <v>699</v>
      </c>
      <c r="D134" s="2" t="s">
        <v>2258</v>
      </c>
      <c r="E134" s="215">
        <f>1*0.001</f>
        <v>0.001</v>
      </c>
      <c r="F134" s="4" t="s">
        <v>699</v>
      </c>
      <c r="G134" s="2" t="s">
        <v>526</v>
      </c>
      <c r="H134" s="1">
        <v>0.78</v>
      </c>
    </row>
    <row r="135" spans="1:9" ht="15.75" customHeight="1">
      <c r="A135" s="1" t="s">
        <v>1016</v>
      </c>
      <c r="B135" s="3">
        <v>4</v>
      </c>
      <c r="C135" s="22" t="s">
        <v>699</v>
      </c>
      <c r="D135" s="2" t="s">
        <v>2259</v>
      </c>
      <c r="E135" s="215">
        <f>5*0.0001</f>
        <v>0.0005</v>
      </c>
      <c r="F135" s="4" t="s">
        <v>699</v>
      </c>
      <c r="G135" s="1" t="s">
        <v>1017</v>
      </c>
      <c r="H135" s="1">
        <v>9.806</v>
      </c>
      <c r="I135" s="25" t="s">
        <v>1018</v>
      </c>
    </row>
    <row r="136" spans="1:9" ht="15.75" customHeight="1">
      <c r="A136" s="1" t="s">
        <v>892</v>
      </c>
      <c r="B136" s="3">
        <v>11</v>
      </c>
      <c r="C136" s="4" t="s">
        <v>699</v>
      </c>
      <c r="D136" s="2" t="s">
        <v>525</v>
      </c>
      <c r="E136" s="68">
        <v>7845</v>
      </c>
      <c r="F136" s="25" t="s">
        <v>713</v>
      </c>
      <c r="G136" s="2" t="s">
        <v>2260</v>
      </c>
      <c r="H136" s="6">
        <v>45</v>
      </c>
      <c r="I136" s="264" t="s">
        <v>706</v>
      </c>
    </row>
    <row r="137" spans="1:9" ht="15.75" customHeight="1">
      <c r="A137" s="1" t="s">
        <v>894</v>
      </c>
      <c r="B137" s="3">
        <v>20</v>
      </c>
      <c r="C137" s="4" t="s">
        <v>699</v>
      </c>
      <c r="D137" s="2" t="s">
        <v>528</v>
      </c>
      <c r="E137" s="166">
        <v>2.3E-06</v>
      </c>
      <c r="F137" s="25" t="s">
        <v>893</v>
      </c>
      <c r="G137" s="2" t="s">
        <v>705</v>
      </c>
      <c r="H137" s="6">
        <v>1</v>
      </c>
      <c r="I137" s="264"/>
    </row>
    <row r="138" ht="6" customHeight="1"/>
    <row r="139" spans="1:7" ht="15.75" customHeight="1">
      <c r="A139" s="5" t="s">
        <v>2261</v>
      </c>
      <c r="G139" s="264"/>
    </row>
    <row r="140" ht="6" customHeight="1">
      <c r="G140" s="264"/>
    </row>
    <row r="141" spans="1:7" ht="15.75" customHeight="1">
      <c r="A141" s="5" t="s">
        <v>113</v>
      </c>
      <c r="B141" s="264"/>
      <c r="C141" s="264"/>
      <c r="D141" s="264"/>
      <c r="E141" s="264"/>
      <c r="F141" s="264"/>
      <c r="G141" s="264"/>
    </row>
    <row r="142" spans="2:7" ht="6" customHeight="1">
      <c r="B142" s="264"/>
      <c r="C142" s="264"/>
      <c r="D142" s="264"/>
      <c r="E142" s="280"/>
      <c r="F142" s="264"/>
      <c r="G142" s="264"/>
    </row>
    <row r="143" spans="1:7" ht="15.75" customHeight="1">
      <c r="A143" s="265" t="s">
        <v>1729</v>
      </c>
      <c r="B143" s="264"/>
      <c r="C143" s="264"/>
      <c r="D143" s="264"/>
      <c r="E143" s="264"/>
      <c r="F143" s="264"/>
      <c r="G143" s="264"/>
    </row>
    <row r="144" spans="1:7" ht="6" customHeight="1">
      <c r="A144" s="264"/>
      <c r="B144" s="264"/>
      <c r="C144" s="264"/>
      <c r="D144" s="264"/>
      <c r="E144" s="264"/>
      <c r="F144" s="264"/>
      <c r="G144" s="264"/>
    </row>
    <row r="145" spans="1:7" ht="15.75" customHeight="1">
      <c r="A145" s="14" t="s">
        <v>1731</v>
      </c>
      <c r="B145" s="264"/>
      <c r="C145" s="264"/>
      <c r="D145" s="264"/>
      <c r="E145" s="264"/>
      <c r="F145" s="264"/>
      <c r="G145" s="264"/>
    </row>
    <row r="146" spans="1:7" ht="6" customHeight="1">
      <c r="A146" s="264"/>
      <c r="B146" s="264"/>
      <c r="C146" s="264"/>
      <c r="D146" s="264"/>
      <c r="E146" s="264"/>
      <c r="F146" s="264"/>
      <c r="G146" s="264"/>
    </row>
    <row r="147" spans="1:7" ht="15.75" customHeight="1">
      <c r="A147" s="264"/>
      <c r="B147" s="266" t="s">
        <v>1732</v>
      </c>
      <c r="C147" s="264"/>
      <c r="D147" s="264"/>
      <c r="E147" s="264"/>
      <c r="F147" s="264"/>
      <c r="G147" s="264"/>
    </row>
    <row r="148" spans="1:7" ht="6" customHeight="1">
      <c r="A148" s="264"/>
      <c r="B148" s="264"/>
      <c r="C148" s="264"/>
      <c r="D148" s="264"/>
      <c r="E148" s="264"/>
      <c r="F148" s="264"/>
      <c r="G148" s="264"/>
    </row>
    <row r="149" spans="1:7" ht="15.75" customHeight="1">
      <c r="A149" s="14" t="s">
        <v>1733</v>
      </c>
      <c r="B149" s="22"/>
      <c r="C149" s="22"/>
      <c r="D149" s="22"/>
      <c r="E149" s="22"/>
      <c r="F149" s="22"/>
      <c r="G149" s="22"/>
    </row>
    <row r="150" spans="1:7" ht="6" customHeight="1">
      <c r="A150" s="264"/>
      <c r="B150" s="264"/>
      <c r="C150" s="264"/>
      <c r="D150" s="264"/>
      <c r="E150" s="264"/>
      <c r="F150" s="264"/>
      <c r="G150" s="264"/>
    </row>
    <row r="151" spans="1:7" ht="15.75" customHeight="1">
      <c r="A151" s="264"/>
      <c r="B151" s="266" t="s">
        <v>1734</v>
      </c>
      <c r="C151" s="264"/>
      <c r="D151" s="264"/>
      <c r="E151" s="264"/>
      <c r="F151" s="264"/>
      <c r="G151" s="264"/>
    </row>
    <row r="152" spans="1:7" ht="6" customHeight="1">
      <c r="A152" s="264"/>
      <c r="B152" s="264"/>
      <c r="C152" s="264"/>
      <c r="D152" s="264"/>
      <c r="E152" s="264"/>
      <c r="F152" s="264"/>
      <c r="G152" s="264"/>
    </row>
    <row r="153" spans="1:7" ht="15.75" customHeight="1">
      <c r="A153" s="14" t="s">
        <v>1207</v>
      </c>
      <c r="B153" s="264"/>
      <c r="C153" s="264"/>
      <c r="D153" s="264"/>
      <c r="E153" s="264"/>
      <c r="F153" s="264"/>
      <c r="G153" s="264"/>
    </row>
    <row r="154" spans="1:7" ht="6" customHeight="1">
      <c r="A154" s="264"/>
      <c r="B154" s="264"/>
      <c r="C154" s="264"/>
      <c r="D154" s="264"/>
      <c r="E154" s="264"/>
      <c r="F154" s="264"/>
      <c r="G154" s="264"/>
    </row>
    <row r="155" spans="1:7" ht="15.75" customHeight="1">
      <c r="A155" s="66" t="s">
        <v>1735</v>
      </c>
      <c r="B155" s="3">
        <f>+PI()*H132^2/4</f>
        <v>0.017671458676442587</v>
      </c>
      <c r="C155" s="28" t="s">
        <v>108</v>
      </c>
      <c r="D155" s="12" t="s">
        <v>1736</v>
      </c>
      <c r="E155" s="264"/>
      <c r="F155" s="264"/>
      <c r="G155" s="264"/>
    </row>
    <row r="156" spans="1:7" ht="6" customHeight="1">
      <c r="A156" s="264"/>
      <c r="B156" s="264"/>
      <c r="C156" s="264"/>
      <c r="D156" s="264"/>
      <c r="E156" s="264"/>
      <c r="F156" s="264"/>
      <c r="G156" s="264"/>
    </row>
    <row r="157" spans="1:8" ht="15.75" customHeight="1">
      <c r="A157" s="264"/>
      <c r="B157" s="264"/>
      <c r="C157" s="264"/>
      <c r="D157" s="23" t="s">
        <v>1737</v>
      </c>
      <c r="E157" s="268"/>
      <c r="F157" s="74"/>
      <c r="G157" s="8">
        <f>+H133*B155*SQRT(2*H135*(B134-B133))/SIN(RADIANS(H136))</f>
        <v>0.10843861351928794</v>
      </c>
      <c r="H157" s="161" t="s">
        <v>2374</v>
      </c>
    </row>
    <row r="158" spans="1:7" ht="6" customHeight="1">
      <c r="A158" s="264"/>
      <c r="B158" s="264"/>
      <c r="C158" s="264"/>
      <c r="D158" s="264"/>
      <c r="E158" s="264"/>
      <c r="F158" s="264"/>
      <c r="G158" s="264"/>
    </row>
    <row r="159" spans="1:7" ht="15.75" customHeight="1">
      <c r="A159" s="265" t="s">
        <v>1478</v>
      </c>
      <c r="B159" s="264"/>
      <c r="C159" s="264"/>
      <c r="D159" s="264"/>
      <c r="E159" s="264"/>
      <c r="F159" s="264"/>
      <c r="G159" s="264"/>
    </row>
    <row r="160" spans="1:7" ht="6" customHeight="1">
      <c r="A160" s="264"/>
      <c r="B160" s="264"/>
      <c r="C160" s="264"/>
      <c r="D160" s="264"/>
      <c r="E160" s="264"/>
      <c r="F160" s="264"/>
      <c r="G160" s="264"/>
    </row>
    <row r="161" spans="1:7" ht="15.75" customHeight="1">
      <c r="A161" s="14" t="s">
        <v>1738</v>
      </c>
      <c r="B161" s="264"/>
      <c r="C161" s="264"/>
      <c r="D161" s="264"/>
      <c r="E161" s="264"/>
      <c r="F161" s="264"/>
      <c r="G161" s="264"/>
    </row>
    <row r="162" spans="1:7" ht="15.75" customHeight="1">
      <c r="A162" s="144" t="s">
        <v>1739</v>
      </c>
      <c r="B162" s="264"/>
      <c r="C162" s="264"/>
      <c r="D162" s="264"/>
      <c r="E162" s="264"/>
      <c r="F162" s="264"/>
      <c r="G162" s="264"/>
    </row>
    <row r="163" spans="1:7" ht="6" customHeight="1">
      <c r="A163" s="264"/>
      <c r="B163" s="264"/>
      <c r="C163" s="264"/>
      <c r="D163" s="264"/>
      <c r="E163" s="264"/>
      <c r="F163" s="264"/>
      <c r="G163" s="264"/>
    </row>
    <row r="164" spans="1:7" ht="15.75" customHeight="1">
      <c r="A164" s="264"/>
      <c r="B164" s="266" t="s">
        <v>1740</v>
      </c>
      <c r="C164" s="264"/>
      <c r="D164" s="264"/>
      <c r="E164" s="264"/>
      <c r="F164" s="264"/>
      <c r="G164" s="264"/>
    </row>
    <row r="165" spans="1:7" ht="6" customHeight="1">
      <c r="A165" s="22"/>
      <c r="B165" s="264"/>
      <c r="C165" s="264"/>
      <c r="D165" s="264"/>
      <c r="E165" s="264"/>
      <c r="F165" s="264"/>
      <c r="G165" s="264"/>
    </row>
    <row r="166" spans="1:7" ht="15.75" customHeight="1">
      <c r="A166" s="14" t="s">
        <v>1482</v>
      </c>
      <c r="B166" s="264"/>
      <c r="C166" s="264"/>
      <c r="D166" s="264"/>
      <c r="E166" s="264"/>
      <c r="F166" s="264"/>
      <c r="G166" s="264"/>
    </row>
    <row r="167" spans="1:7" ht="6" customHeight="1">
      <c r="A167" s="264"/>
      <c r="B167" s="264"/>
      <c r="C167" s="264"/>
      <c r="D167" s="264"/>
      <c r="E167" s="264"/>
      <c r="F167" s="264"/>
      <c r="G167" s="264"/>
    </row>
    <row r="168" spans="1:7" ht="15.75" customHeight="1">
      <c r="A168" s="267" t="s">
        <v>1145</v>
      </c>
      <c r="B168" s="264"/>
      <c r="C168" s="264"/>
      <c r="D168" s="264"/>
      <c r="E168" s="264"/>
      <c r="F168" s="264"/>
      <c r="G168" s="264"/>
    </row>
    <row r="169" spans="1:7" ht="6" customHeight="1">
      <c r="A169" s="264"/>
      <c r="B169" s="264"/>
      <c r="C169" s="264"/>
      <c r="D169" s="264"/>
      <c r="E169" s="264"/>
      <c r="F169" s="264"/>
      <c r="G169" s="264"/>
    </row>
    <row r="170" spans="1:9" ht="15.75" customHeight="1">
      <c r="A170" s="4" t="s">
        <v>2248</v>
      </c>
      <c r="C170" s="273">
        <f>4*$G$157/(PI()*E137*E132)</f>
        <v>240118.8363634964</v>
      </c>
      <c r="D170" s="264"/>
      <c r="F170" s="4" t="s">
        <v>1486</v>
      </c>
      <c r="H170" s="273">
        <f>4*$G$157/(PI()*E137*E133)</f>
        <v>300148.5454543705</v>
      </c>
      <c r="I170" s="264"/>
    </row>
    <row r="171" spans="2:9" ht="15.75" customHeight="1">
      <c r="B171" s="2" t="s">
        <v>1487</v>
      </c>
      <c r="C171" s="3">
        <f>+E134/E132</f>
        <v>0.004</v>
      </c>
      <c r="D171" s="264"/>
      <c r="G171" s="2" t="s">
        <v>1488</v>
      </c>
      <c r="H171" s="3">
        <f>+E135/E133</f>
        <v>0.0025</v>
      </c>
      <c r="I171" s="264"/>
    </row>
    <row r="172" spans="2:9" ht="15.75" customHeight="1">
      <c r="B172" s="2" t="s">
        <v>1489</v>
      </c>
      <c r="C172" s="19">
        <v>0.02886062526353347</v>
      </c>
      <c r="D172" s="84" t="s">
        <v>1490</v>
      </c>
      <c r="G172" s="2" t="s">
        <v>1491</v>
      </c>
      <c r="H172" s="19">
        <v>0.025374997737766063</v>
      </c>
      <c r="I172" s="29" t="s">
        <v>55</v>
      </c>
    </row>
    <row r="173" spans="1:9" ht="15.75" customHeight="1">
      <c r="A173" s="125" t="s">
        <v>901</v>
      </c>
      <c r="C173" s="273">
        <f>1/SQRT(C172)+2*LOG10(2.51/(C170*SQRT(C172))+C171/3.71)</f>
        <v>-5.602971439611082E-05</v>
      </c>
      <c r="D173" s="264"/>
      <c r="F173" s="125" t="s">
        <v>901</v>
      </c>
      <c r="H173" s="282">
        <f>1/SQRT(H172)+2*LOG10(2.51/(H170*SQRT(H172))+H171/3.71)</f>
        <v>-5.790376597936131E-05</v>
      </c>
      <c r="I173" s="264"/>
    </row>
    <row r="174" spans="1:9" ht="15.75" customHeight="1">
      <c r="A174" s="125" t="s">
        <v>902</v>
      </c>
      <c r="C174" s="273"/>
      <c r="D174" s="22"/>
      <c r="F174" s="125" t="s">
        <v>902</v>
      </c>
      <c r="H174" s="264"/>
      <c r="I174" s="273"/>
    </row>
    <row r="175" spans="1:7" ht="6" customHeight="1">
      <c r="A175" s="264"/>
      <c r="B175" s="264"/>
      <c r="C175" s="264"/>
      <c r="D175" s="264"/>
      <c r="E175" s="264"/>
      <c r="F175" s="264"/>
      <c r="G175" s="264"/>
    </row>
    <row r="176" spans="1:7" ht="15.75" customHeight="1">
      <c r="A176" s="4" t="s">
        <v>1434</v>
      </c>
      <c r="B176" s="2" t="s">
        <v>1494</v>
      </c>
      <c r="C176" s="274">
        <f>+B133+(C172/E132)*(G157^2)/(2*H135*(PI()*(E132^2)/4)^2)*B136+(H172/E133)*(G157^2)/(2*H135*(PI()*(E133^2)/4)^2)*B137+(G157^2)/(2*H135*(H133*B155)^2)-B132</f>
        <v>7.357514785214615</v>
      </c>
      <c r="D176" s="22" t="s">
        <v>699</v>
      </c>
      <c r="E176" s="264"/>
      <c r="F176" s="264"/>
      <c r="G176" s="264"/>
    </row>
    <row r="177" spans="1:7" ht="6" customHeight="1">
      <c r="A177" s="264"/>
      <c r="B177" s="264"/>
      <c r="C177" s="264"/>
      <c r="D177" s="264"/>
      <c r="E177" s="264"/>
      <c r="F177" s="264"/>
      <c r="G177" s="264"/>
    </row>
    <row r="178" spans="1:7" ht="15.75" customHeight="1">
      <c r="A178" s="22" t="s">
        <v>1495</v>
      </c>
      <c r="B178" s="264"/>
      <c r="C178" s="264"/>
      <c r="D178" s="264"/>
      <c r="E178" s="264"/>
      <c r="F178" s="264"/>
      <c r="G178" s="264"/>
    </row>
    <row r="179" spans="1:7" ht="6" customHeight="1">
      <c r="A179" s="264"/>
      <c r="B179" s="264"/>
      <c r="C179" s="264"/>
      <c r="D179" s="264"/>
      <c r="E179" s="264"/>
      <c r="F179" s="264"/>
      <c r="G179" s="264"/>
    </row>
    <row r="180" spans="1:7" ht="15.75" customHeight="1">
      <c r="A180" s="264"/>
      <c r="B180" s="23" t="s">
        <v>1146</v>
      </c>
      <c r="C180" s="268"/>
      <c r="D180" s="276">
        <f>+E136*G157*C176/H134</f>
        <v>8024.416178462748</v>
      </c>
      <c r="E180" s="270" t="s">
        <v>1214</v>
      </c>
      <c r="G180" s="264"/>
    </row>
    <row r="181" spans="1:7" ht="6" customHeight="1">
      <c r="A181" s="264"/>
      <c r="B181" s="264"/>
      <c r="C181" s="264"/>
      <c r="D181" s="264"/>
      <c r="E181" s="264"/>
      <c r="F181" s="264"/>
      <c r="G181" s="264"/>
    </row>
    <row r="182" spans="1:9" ht="6" customHeight="1">
      <c r="A182" s="131"/>
      <c r="B182" s="131"/>
      <c r="C182" s="131"/>
      <c r="D182" s="131"/>
      <c r="E182" s="131"/>
      <c r="F182" s="131"/>
      <c r="G182" s="131"/>
      <c r="H182" s="131"/>
      <c r="I182" s="131"/>
    </row>
    <row r="183" spans="1:10" ht="6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5.75" customHeight="1">
      <c r="A184" s="85" t="s">
        <v>1147</v>
      </c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6" customHeight="1">
      <c r="A185" s="1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5.75" customHeight="1">
      <c r="A186" s="5" t="s">
        <v>112</v>
      </c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6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5.75" customHeight="1">
      <c r="A188" s="1" t="s">
        <v>2025</v>
      </c>
      <c r="B188" s="3">
        <v>35</v>
      </c>
      <c r="C188" s="120" t="s">
        <v>699</v>
      </c>
      <c r="D188" s="1" t="s">
        <v>1148</v>
      </c>
      <c r="E188" s="3">
        <v>8</v>
      </c>
      <c r="F188" s="120" t="s">
        <v>699</v>
      </c>
      <c r="G188" s="1" t="s">
        <v>1017</v>
      </c>
      <c r="H188" s="1">
        <v>9.806</v>
      </c>
      <c r="I188" s="28" t="s">
        <v>1018</v>
      </c>
      <c r="J188" s="28"/>
    </row>
    <row r="189" spans="1:10" ht="15.75" customHeight="1">
      <c r="A189" s="1" t="s">
        <v>1149</v>
      </c>
      <c r="B189" s="3">
        <v>31</v>
      </c>
      <c r="C189" s="120" t="s">
        <v>699</v>
      </c>
      <c r="D189" s="1" t="s">
        <v>2305</v>
      </c>
      <c r="E189" s="283">
        <f>(6+H192/20)</f>
        <v>7.3</v>
      </c>
      <c r="F189" s="120" t="s">
        <v>699</v>
      </c>
      <c r="G189" s="1" t="s">
        <v>2306</v>
      </c>
      <c r="H189" s="1">
        <v>0.98</v>
      </c>
      <c r="I189" s="28"/>
      <c r="J189" s="28"/>
    </row>
    <row r="190" spans="1:10" ht="15.75" customHeight="1">
      <c r="A190" s="1" t="s">
        <v>2307</v>
      </c>
      <c r="B190" s="1">
        <f>+(75000+H192*100)</f>
        <v>77600</v>
      </c>
      <c r="C190" s="120" t="s">
        <v>1214</v>
      </c>
      <c r="D190" s="1" t="s">
        <v>2308</v>
      </c>
      <c r="E190" s="283">
        <v>9</v>
      </c>
      <c r="F190" s="120" t="s">
        <v>699</v>
      </c>
      <c r="G190" s="2" t="s">
        <v>2309</v>
      </c>
      <c r="H190" s="1">
        <v>0.3</v>
      </c>
      <c r="I190" s="28"/>
      <c r="J190" s="28"/>
    </row>
    <row r="191" spans="1:10" ht="15.75" customHeight="1">
      <c r="A191" s="2" t="s">
        <v>2310</v>
      </c>
      <c r="B191" s="1">
        <v>0.75</v>
      </c>
      <c r="D191" s="1" t="s">
        <v>2515</v>
      </c>
      <c r="E191" s="3">
        <v>0.4</v>
      </c>
      <c r="F191" s="120" t="s">
        <v>699</v>
      </c>
      <c r="G191" s="284" t="s">
        <v>2311</v>
      </c>
      <c r="H191" s="284">
        <v>26</v>
      </c>
      <c r="I191" s="28"/>
      <c r="J191" s="28"/>
    </row>
    <row r="192" spans="1:10" ht="15.75" customHeight="1">
      <c r="A192" s="1" t="s">
        <v>2257</v>
      </c>
      <c r="B192" s="3">
        <v>0.2</v>
      </c>
      <c r="C192" s="120" t="s">
        <v>699</v>
      </c>
      <c r="D192" s="1" t="s">
        <v>2312</v>
      </c>
      <c r="E192" s="3">
        <v>0.35</v>
      </c>
      <c r="F192" s="120" t="s">
        <v>699</v>
      </c>
      <c r="G192" s="284" t="s">
        <v>716</v>
      </c>
      <c r="H192" s="284">
        <v>26</v>
      </c>
      <c r="I192" s="28"/>
      <c r="J192" s="28"/>
    </row>
    <row r="193" spans="1:10" ht="15.75" customHeight="1">
      <c r="A193" s="2" t="s">
        <v>698</v>
      </c>
      <c r="B193" s="1">
        <v>9806</v>
      </c>
      <c r="C193" s="28" t="s">
        <v>713</v>
      </c>
      <c r="D193" s="1" t="s">
        <v>2313</v>
      </c>
      <c r="E193" s="3">
        <v>0.3</v>
      </c>
      <c r="F193" s="120" t="s">
        <v>699</v>
      </c>
      <c r="I193" s="28"/>
      <c r="J193" s="28"/>
    </row>
    <row r="194" spans="1:10" ht="15.75" customHeight="1">
      <c r="A194" s="2" t="s">
        <v>2314</v>
      </c>
      <c r="B194" s="215">
        <v>1E-06</v>
      </c>
      <c r="C194" s="28" t="s">
        <v>893</v>
      </c>
      <c r="D194" s="2" t="s">
        <v>957</v>
      </c>
      <c r="E194" s="1">
        <f>9*10^-4</f>
        <v>0.0009000000000000001</v>
      </c>
      <c r="F194" s="120" t="s">
        <v>699</v>
      </c>
      <c r="J194" s="28"/>
    </row>
    <row r="195" spans="9:10" ht="6" customHeight="1">
      <c r="I195" s="28"/>
      <c r="J195" s="28"/>
    </row>
    <row r="196" spans="1:10" ht="15.75" customHeight="1">
      <c r="A196" s="5" t="s">
        <v>958</v>
      </c>
      <c r="G196" s="129"/>
      <c r="H196" s="28"/>
      <c r="I196" s="28"/>
      <c r="J196" s="28"/>
    </row>
    <row r="197" spans="1:10" ht="15.75" customHeight="1">
      <c r="A197" s="5" t="s">
        <v>959</v>
      </c>
      <c r="G197" s="129"/>
      <c r="H197" s="28"/>
      <c r="I197" s="28"/>
      <c r="J197" s="28"/>
    </row>
    <row r="198" spans="7:10" ht="6" customHeight="1">
      <c r="G198" s="12"/>
      <c r="H198" s="28"/>
      <c r="I198" s="28"/>
      <c r="J198" s="28"/>
    </row>
    <row r="199" spans="1:10" ht="15.75" customHeight="1">
      <c r="A199" s="5" t="s">
        <v>113</v>
      </c>
      <c r="D199" s="1"/>
      <c r="G199" s="12"/>
      <c r="H199" s="28"/>
      <c r="I199" s="28"/>
      <c r="J199" s="28"/>
    </row>
    <row r="200" spans="4:10" ht="6" customHeight="1">
      <c r="D200" s="1"/>
      <c r="G200" s="12"/>
      <c r="H200" s="28"/>
      <c r="I200" s="28"/>
      <c r="J200" s="28"/>
    </row>
    <row r="201" spans="1:10" ht="15.75" customHeight="1">
      <c r="A201" s="265" t="s">
        <v>960</v>
      </c>
      <c r="H201" s="28"/>
      <c r="I201" s="28"/>
      <c r="J201" s="28"/>
    </row>
    <row r="202" spans="8:10" ht="6" customHeight="1">
      <c r="H202" s="28"/>
      <c r="I202" s="28"/>
      <c r="J202" s="28"/>
    </row>
    <row r="203" spans="1:10" ht="15.75" customHeight="1">
      <c r="A203" s="120" t="s">
        <v>961</v>
      </c>
      <c r="H203" s="28"/>
      <c r="I203" s="28"/>
      <c r="J203" s="28"/>
    </row>
    <row r="204" spans="1:10" ht="15.75" customHeight="1">
      <c r="A204" s="120" t="s">
        <v>962</v>
      </c>
      <c r="H204" s="28"/>
      <c r="I204" s="28"/>
      <c r="J204" s="28"/>
    </row>
    <row r="205" spans="1:10" ht="15.75" customHeight="1">
      <c r="A205" s="137" t="s">
        <v>963</v>
      </c>
      <c r="H205" s="28"/>
      <c r="I205" s="28"/>
      <c r="J205" s="28"/>
    </row>
    <row r="206" spans="8:10" ht="6" customHeight="1">
      <c r="H206" s="28"/>
      <c r="I206" s="28"/>
      <c r="J206" s="28"/>
    </row>
    <row r="207" spans="1:10" ht="15.75" customHeight="1">
      <c r="A207" s="1" t="s">
        <v>964</v>
      </c>
      <c r="B207" s="3">
        <f>+B188-B189</f>
        <v>4</v>
      </c>
      <c r="C207" s="120" t="s">
        <v>699</v>
      </c>
      <c r="D207" s="1" t="s">
        <v>1735</v>
      </c>
      <c r="E207" s="3">
        <f>+PI()*B192^2/4</f>
        <v>0.031415926535897934</v>
      </c>
      <c r="F207" s="28" t="s">
        <v>108</v>
      </c>
      <c r="H207" s="28"/>
      <c r="I207" s="28"/>
      <c r="J207" s="28"/>
    </row>
    <row r="208" spans="8:10" ht="6" customHeight="1">
      <c r="H208" s="28"/>
      <c r="I208" s="28"/>
      <c r="J208" s="28"/>
    </row>
    <row r="209" spans="2:10" ht="15.75" customHeight="1">
      <c r="B209" s="264"/>
      <c r="C209" s="74" t="s">
        <v>965</v>
      </c>
      <c r="D209" s="268"/>
      <c r="E209" s="74"/>
      <c r="F209" s="8">
        <f>+H189*E207*SQRT(2*H188*B207)</f>
        <v>0.27268853978574426</v>
      </c>
      <c r="G209" s="161" t="s">
        <v>2374</v>
      </c>
      <c r="H209" s="28"/>
      <c r="I209" s="28"/>
      <c r="J209" s="28"/>
    </row>
    <row r="210" spans="5:10" ht="6" customHeight="1">
      <c r="E210" s="3"/>
      <c r="H210" s="28"/>
      <c r="I210" s="28"/>
      <c r="J210" s="28"/>
    </row>
    <row r="211" spans="1:10" ht="15.75" customHeight="1">
      <c r="A211" s="265" t="s">
        <v>966</v>
      </c>
      <c r="B211" s="285"/>
      <c r="C211" s="285"/>
      <c r="D211" s="285"/>
      <c r="H211" s="28"/>
      <c r="I211" s="28"/>
      <c r="J211" s="28"/>
    </row>
    <row r="212" spans="1:10" ht="6" customHeight="1">
      <c r="A212" s="286"/>
      <c r="B212" s="286"/>
      <c r="C212" s="286"/>
      <c r="D212" s="286"/>
      <c r="E212" s="286"/>
      <c r="F212" s="286"/>
      <c r="G212" s="286"/>
      <c r="H212" s="28"/>
      <c r="I212" s="28"/>
      <c r="J212" s="28"/>
    </row>
    <row r="213" spans="1:10" ht="15.75" customHeight="1">
      <c r="A213" s="120" t="s">
        <v>967</v>
      </c>
      <c r="B213" s="286"/>
      <c r="C213" s="286"/>
      <c r="D213" s="286"/>
      <c r="E213" s="286"/>
      <c r="F213" s="286"/>
      <c r="G213" s="286"/>
      <c r="H213" s="28"/>
      <c r="I213" s="28"/>
      <c r="J213" s="28"/>
    </row>
    <row r="214" spans="1:10" ht="15.75" customHeight="1">
      <c r="A214" s="120" t="s">
        <v>968</v>
      </c>
      <c r="B214" s="286"/>
      <c r="C214" s="286"/>
      <c r="D214" s="286"/>
      <c r="E214" s="286"/>
      <c r="F214" s="286"/>
      <c r="G214" s="286"/>
      <c r="H214" s="28"/>
      <c r="I214" s="28"/>
      <c r="J214" s="28"/>
    </row>
    <row r="215" spans="1:10" ht="6" customHeight="1">
      <c r="A215" s="137"/>
      <c r="B215" s="286"/>
      <c r="C215" s="286"/>
      <c r="D215" s="286"/>
      <c r="E215" s="286"/>
      <c r="F215" s="286"/>
      <c r="G215" s="286"/>
      <c r="H215" s="28"/>
      <c r="I215" s="28"/>
      <c r="J215" s="28"/>
    </row>
    <row r="216" spans="1:10" ht="15.75" customHeight="1">
      <c r="A216" s="1" t="s">
        <v>969</v>
      </c>
      <c r="B216" s="132" t="s">
        <v>970</v>
      </c>
      <c r="D216" s="287" t="s">
        <v>971</v>
      </c>
      <c r="E216" s="74"/>
      <c r="F216" s="8">
        <f>+B191*B190/(B193*F209)</f>
        <v>21.76527753829459</v>
      </c>
      <c r="G216" s="74" t="s">
        <v>699</v>
      </c>
      <c r="H216" s="28"/>
      <c r="I216" s="28"/>
      <c r="J216" s="28"/>
    </row>
    <row r="217" spans="1:10" ht="6" customHeight="1">
      <c r="A217" s="286"/>
      <c r="B217" s="286"/>
      <c r="C217" s="286"/>
      <c r="D217" s="286"/>
      <c r="E217" s="286"/>
      <c r="F217" s="286"/>
      <c r="G217" s="286"/>
      <c r="H217" s="28"/>
      <c r="I217" s="28"/>
      <c r="J217" s="28"/>
    </row>
    <row r="218" spans="1:10" ht="15.75" customHeight="1">
      <c r="A218" s="265" t="s">
        <v>972</v>
      </c>
      <c r="H218" s="28"/>
      <c r="I218" s="28"/>
      <c r="J218" s="28"/>
    </row>
    <row r="219" spans="8:10" ht="6" customHeight="1">
      <c r="H219" s="28"/>
      <c r="I219" s="28"/>
      <c r="J219" s="28"/>
    </row>
    <row r="220" spans="1:10" ht="15.75" customHeight="1">
      <c r="A220" s="120" t="s">
        <v>973</v>
      </c>
      <c r="B220" s="286"/>
      <c r="C220" s="286"/>
      <c r="D220" s="286"/>
      <c r="E220" s="286"/>
      <c r="F220" s="286"/>
      <c r="G220" s="286"/>
      <c r="H220" s="28"/>
      <c r="I220" s="28"/>
      <c r="J220" s="28"/>
    </row>
    <row r="221" spans="1:10" ht="15.75" customHeight="1">
      <c r="A221" s="120" t="s">
        <v>974</v>
      </c>
      <c r="B221" s="286"/>
      <c r="C221" s="286"/>
      <c r="D221" s="286"/>
      <c r="E221" s="286"/>
      <c r="F221" s="286"/>
      <c r="G221" s="286"/>
      <c r="H221" s="28"/>
      <c r="I221" s="28"/>
      <c r="J221" s="28"/>
    </row>
    <row r="222" spans="1:10" ht="15.75" customHeight="1">
      <c r="A222" s="288" t="s">
        <v>975</v>
      </c>
      <c r="H222" s="28"/>
      <c r="I222" s="28"/>
      <c r="J222" s="28"/>
    </row>
    <row r="223" spans="1:10" ht="15.75" customHeight="1">
      <c r="A223" s="120" t="s">
        <v>976</v>
      </c>
      <c r="H223" s="28"/>
      <c r="I223" s="28"/>
      <c r="J223" s="28"/>
    </row>
    <row r="224" spans="8:10" ht="6" customHeight="1">
      <c r="H224" s="28"/>
      <c r="I224" s="28"/>
      <c r="J224" s="28"/>
    </row>
    <row r="225" spans="2:10" ht="15.75" customHeight="1">
      <c r="B225" s="120" t="s">
        <v>977</v>
      </c>
      <c r="H225" s="28"/>
      <c r="I225" s="28"/>
      <c r="J225" s="28"/>
    </row>
    <row r="226" spans="8:10" ht="6" customHeight="1">
      <c r="H226" s="28"/>
      <c r="I226" s="28"/>
      <c r="J226" s="28"/>
    </row>
    <row r="227" spans="1:10" ht="15.75" customHeight="1">
      <c r="A227" s="1" t="s">
        <v>978</v>
      </c>
      <c r="B227" s="215">
        <f>4*$F$209/(PI()*$B$194*E191)</f>
        <v>867994.5806282433</v>
      </c>
      <c r="C227" s="4" t="s">
        <v>979</v>
      </c>
      <c r="E227" s="215">
        <f>4*$F$209/(PI()*$B$194*E192)</f>
        <v>991993.8064322781</v>
      </c>
      <c r="G227" s="4" t="s">
        <v>980</v>
      </c>
      <c r="I227" s="215">
        <f>4*$F$209/(PI()*$B$194*E193)</f>
        <v>1157326.1075043245</v>
      </c>
      <c r="J227" s="28"/>
    </row>
    <row r="228" ht="6" customHeight="1">
      <c r="J228" s="28"/>
    </row>
    <row r="229" spans="1:10" ht="15.75" customHeight="1">
      <c r="A229" s="289" t="s">
        <v>1487</v>
      </c>
      <c r="B229" s="19">
        <f>+$E$194/E191</f>
        <v>0.0022500000000000003</v>
      </c>
      <c r="C229" s="1"/>
      <c r="D229" s="289" t="s">
        <v>1488</v>
      </c>
      <c r="E229" s="19">
        <f>+$E$194/E192</f>
        <v>0.0025714285714285717</v>
      </c>
      <c r="H229" s="289" t="s">
        <v>981</v>
      </c>
      <c r="I229" s="19">
        <f>+$E$194/E193</f>
        <v>0.0030000000000000005</v>
      </c>
      <c r="J229" s="28"/>
    </row>
    <row r="230" ht="6" customHeight="1">
      <c r="J230" s="28"/>
    </row>
    <row r="231" ht="6" customHeight="1">
      <c r="J231" s="28"/>
    </row>
    <row r="232" spans="1:10" ht="15.75" customHeight="1">
      <c r="A232" s="2" t="s">
        <v>982</v>
      </c>
      <c r="B232" s="19">
        <v>0.02435175723423121</v>
      </c>
      <c r="D232" s="2" t="s">
        <v>983</v>
      </c>
      <c r="E232" s="19">
        <v>0.02520599646075047</v>
      </c>
      <c r="H232" s="2" t="s">
        <v>984</v>
      </c>
      <c r="I232" s="19">
        <v>0.026265972663603053</v>
      </c>
      <c r="J232" s="28"/>
    </row>
    <row r="233" ht="6" customHeight="1">
      <c r="J233" s="28"/>
    </row>
    <row r="234" spans="1:10" ht="15.75" customHeight="1">
      <c r="A234" s="105" t="s">
        <v>901</v>
      </c>
      <c r="B234" s="138">
        <f>1/SQRT(B232)+2*LOG10(2.51/(B227*SQRT(B232))+B229/3.71)</f>
        <v>-5.825461551989264E-05</v>
      </c>
      <c r="C234" s="125" t="s">
        <v>985</v>
      </c>
      <c r="E234" s="138">
        <f>1/SQRT(E232)+2*LOG10(2.51/(E227*SQRT(E232))+E229/3.71)</f>
        <v>5.712600711582638E-06</v>
      </c>
      <c r="G234" s="125" t="s">
        <v>1492</v>
      </c>
      <c r="I234" s="138">
        <f>1/SQRT(I232)+2*LOG10(2.51/(I227*SQRT(I232))+I229/3.71)</f>
        <v>8.431868195657444E-06</v>
      </c>
      <c r="J234" s="28"/>
    </row>
    <row r="235" spans="1:10" ht="15.75" customHeight="1">
      <c r="A235" s="125" t="s">
        <v>1641</v>
      </c>
      <c r="D235" s="125" t="s">
        <v>1641</v>
      </c>
      <c r="G235" s="125" t="s">
        <v>1641</v>
      </c>
      <c r="H235" s="264"/>
      <c r="I235" s="28"/>
      <c r="J235" s="28"/>
    </row>
    <row r="236" spans="8:10" ht="6" customHeight="1">
      <c r="H236" s="28"/>
      <c r="I236" s="28"/>
      <c r="J236" s="28"/>
    </row>
    <row r="237" spans="1:10" ht="15.75" customHeight="1">
      <c r="A237" s="1" t="s">
        <v>986</v>
      </c>
      <c r="B237" s="3">
        <f>+PI()*E191^2/4</f>
        <v>0.12566370614359174</v>
      </c>
      <c r="C237" s="28" t="s">
        <v>108</v>
      </c>
      <c r="D237" s="1" t="s">
        <v>987</v>
      </c>
      <c r="F237" s="3">
        <f>+PI()*E192^2/4</f>
        <v>0.0962112750161874</v>
      </c>
      <c r="G237" s="28" t="s">
        <v>108</v>
      </c>
      <c r="H237" s="28"/>
      <c r="I237" s="28"/>
      <c r="J237" s="28"/>
    </row>
    <row r="238" spans="7:10" ht="6" customHeight="1">
      <c r="G238" s="264"/>
      <c r="H238" s="28"/>
      <c r="I238" s="28"/>
      <c r="J238" s="28"/>
    </row>
    <row r="239" spans="1:10" ht="15.75" customHeight="1">
      <c r="A239" s="1" t="s">
        <v>988</v>
      </c>
      <c r="B239" s="3">
        <f>+F209/B237</f>
        <v>2.169986451570608</v>
      </c>
      <c r="C239" s="120" t="s">
        <v>2381</v>
      </c>
      <c r="D239" s="1" t="s">
        <v>989</v>
      </c>
      <c r="F239" s="3">
        <f>+F209/F237</f>
        <v>2.8342680183779376</v>
      </c>
      <c r="G239" s="120" t="s">
        <v>2381</v>
      </c>
      <c r="H239" s="28"/>
      <c r="I239" s="28"/>
      <c r="J239" s="28"/>
    </row>
    <row r="240" spans="1:10" ht="6" customHeight="1">
      <c r="A240" s="1"/>
      <c r="D240" s="1"/>
      <c r="G240" s="264"/>
      <c r="H240" s="28"/>
      <c r="I240" s="28"/>
      <c r="J240" s="28"/>
    </row>
    <row r="241" spans="1:10" ht="15.75" customHeight="1">
      <c r="A241" s="1" t="s">
        <v>990</v>
      </c>
      <c r="B241" s="19">
        <f>+(B232/E191)*B239^2/(2*H188)</f>
        <v>0.014617142279847282</v>
      </c>
      <c r="D241" s="4" t="s">
        <v>991</v>
      </c>
      <c r="F241" s="19">
        <f>+(E232/E192)*F239^2/(2*H188)</f>
        <v>0.029498217572352554</v>
      </c>
      <c r="G241" s="264"/>
      <c r="H241" s="28"/>
      <c r="I241" s="28"/>
      <c r="J241" s="28"/>
    </row>
    <row r="242" spans="7:10" ht="6" customHeight="1">
      <c r="G242" s="264"/>
      <c r="H242" s="28"/>
      <c r="I242" s="28"/>
      <c r="J242" s="28"/>
    </row>
    <row r="243" spans="1:10" ht="15.75" customHeight="1">
      <c r="A243" s="285" t="s">
        <v>992</v>
      </c>
      <c r="G243" s="264"/>
      <c r="H243" s="28"/>
      <c r="I243" s="28"/>
      <c r="J243" s="28"/>
    </row>
    <row r="244" spans="7:10" ht="6" customHeight="1">
      <c r="G244" s="264"/>
      <c r="H244" s="28"/>
      <c r="I244" s="28"/>
      <c r="J244" s="28"/>
    </row>
    <row r="245" spans="1:10" ht="15.75" customHeight="1">
      <c r="A245" s="1" t="s">
        <v>993</v>
      </c>
      <c r="B245" s="3">
        <f>+PI()*E193^2/4</f>
        <v>0.07068583470577035</v>
      </c>
      <c r="C245" s="28" t="s">
        <v>108</v>
      </c>
      <c r="D245" s="1" t="s">
        <v>994</v>
      </c>
      <c r="E245" s="3">
        <f>+F209/B245</f>
        <v>3.857753691681081</v>
      </c>
      <c r="F245" s="120" t="s">
        <v>2381</v>
      </c>
      <c r="G245" s="4" t="s">
        <v>995</v>
      </c>
      <c r="I245" s="19">
        <f>+(I232/E193)*E245^2/(2*H188)</f>
        <v>0.06643842672230287</v>
      </c>
      <c r="J245" s="28"/>
    </row>
    <row r="246" spans="1:10" ht="6" customHeight="1">
      <c r="A246" s="264"/>
      <c r="B246" s="264"/>
      <c r="C246" s="264"/>
      <c r="G246" s="264"/>
      <c r="H246" s="28"/>
      <c r="I246" s="28"/>
      <c r="J246" s="28"/>
    </row>
    <row r="247" spans="1:10" ht="15.75" customHeight="1">
      <c r="A247" s="1" t="s">
        <v>1343</v>
      </c>
      <c r="B247" s="3">
        <f>+B241*E188</f>
        <v>0.11693713823877826</v>
      </c>
      <c r="C247" s="120" t="s">
        <v>699</v>
      </c>
      <c r="D247" s="1" t="s">
        <v>1344</v>
      </c>
      <c r="E247" s="3">
        <f>+F241*E189</f>
        <v>0.21533698827817363</v>
      </c>
      <c r="F247" s="120" t="s">
        <v>699</v>
      </c>
      <c r="G247" s="1" t="s">
        <v>996</v>
      </c>
      <c r="H247" s="3">
        <f>+I245*E190</f>
        <v>0.5979458405007257</v>
      </c>
      <c r="I247" s="120" t="s">
        <v>699</v>
      </c>
      <c r="J247" s="28"/>
    </row>
    <row r="248" ht="6" customHeight="1">
      <c r="J248" s="28"/>
    </row>
    <row r="249" spans="1:10" ht="15.75" customHeight="1">
      <c r="A249" s="2" t="s">
        <v>997</v>
      </c>
      <c r="B249" s="3">
        <f>+H190*E245^2/(2*H188)</f>
        <v>0.22765037037037036</v>
      </c>
      <c r="C249" s="120" t="s">
        <v>699</v>
      </c>
      <c r="D249" s="2" t="s">
        <v>998</v>
      </c>
      <c r="E249" s="3">
        <f>+E245^2/(2*H188)</f>
        <v>0.7588345679012345</v>
      </c>
      <c r="F249" s="120" t="s">
        <v>699</v>
      </c>
      <c r="J249" s="28"/>
    </row>
    <row r="250" spans="1:10" ht="6" customHeight="1">
      <c r="A250" s="264"/>
      <c r="B250" s="264"/>
      <c r="C250" s="264"/>
      <c r="D250" s="1"/>
      <c r="G250" s="1"/>
      <c r="H250" s="28"/>
      <c r="I250" s="28"/>
      <c r="J250" s="28"/>
    </row>
    <row r="251" spans="1:10" ht="15.75" customHeight="1">
      <c r="A251" s="120" t="s">
        <v>999</v>
      </c>
      <c r="G251" s="1"/>
      <c r="H251" s="28"/>
      <c r="I251" s="28"/>
      <c r="J251" s="28"/>
    </row>
    <row r="252" spans="8:10" ht="15.75" customHeight="1">
      <c r="H252" s="28"/>
      <c r="I252" s="28"/>
      <c r="J252" s="28"/>
    </row>
    <row r="253" spans="1:10" ht="15.75" customHeight="1">
      <c r="A253" s="74" t="s">
        <v>1000</v>
      </c>
      <c r="B253" s="74"/>
      <c r="C253" s="74"/>
      <c r="D253" s="268"/>
      <c r="E253" s="74"/>
      <c r="F253" s="8">
        <f>+B247-F216+E247+B249+H247+E249+B188</f>
        <v>15.151427366994692</v>
      </c>
      <c r="G253" s="74" t="s">
        <v>699</v>
      </c>
      <c r="H253" s="28"/>
      <c r="I253" s="28"/>
      <c r="J253" s="28"/>
    </row>
    <row r="254" spans="1:10" ht="6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6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28"/>
    </row>
    <row r="256" spans="1:10" ht="6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5.75" customHeight="1">
      <c r="A257" s="85" t="s">
        <v>1001</v>
      </c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5.75" customHeight="1">
      <c r="A258" s="85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5.75" customHeight="1">
      <c r="A259" s="1" t="s">
        <v>1726</v>
      </c>
      <c r="B259" s="3">
        <v>500</v>
      </c>
      <c r="C259" s="22" t="s">
        <v>1002</v>
      </c>
      <c r="E259" s="3">
        <f>200+H265/10</f>
        <v>200.1</v>
      </c>
      <c r="F259" s="4" t="s">
        <v>699</v>
      </c>
      <c r="G259" s="2" t="s">
        <v>1222</v>
      </c>
      <c r="H259" s="1">
        <v>0.8</v>
      </c>
      <c r="J259" s="28"/>
    </row>
    <row r="260" spans="1:10" ht="15.75" customHeight="1">
      <c r="A260" s="1" t="s">
        <v>1016</v>
      </c>
      <c r="B260" s="3">
        <v>450</v>
      </c>
      <c r="C260" s="22" t="s">
        <v>1003</v>
      </c>
      <c r="E260" s="3">
        <f>500+H264/10</f>
        <v>500.1</v>
      </c>
      <c r="F260" s="4" t="s">
        <v>699</v>
      </c>
      <c r="G260" s="2" t="s">
        <v>526</v>
      </c>
      <c r="H260" s="1">
        <v>0.7</v>
      </c>
      <c r="J260" s="28"/>
    </row>
    <row r="261" spans="1:10" ht="15.75" customHeight="1">
      <c r="A261" s="1" t="s">
        <v>2025</v>
      </c>
      <c r="B261" s="3">
        <v>200</v>
      </c>
      <c r="C261" s="22" t="s">
        <v>699</v>
      </c>
      <c r="D261" s="1" t="s">
        <v>2515</v>
      </c>
      <c r="E261" s="3">
        <v>0.4</v>
      </c>
      <c r="F261" s="4" t="s">
        <v>699</v>
      </c>
      <c r="G261" s="2" t="s">
        <v>525</v>
      </c>
      <c r="H261" s="68">
        <v>9806</v>
      </c>
      <c r="I261" s="25" t="s">
        <v>713</v>
      </c>
      <c r="J261" s="28"/>
    </row>
    <row r="262" spans="1:10" ht="15.75" customHeight="1">
      <c r="A262" s="1" t="s">
        <v>2069</v>
      </c>
      <c r="B262" s="3">
        <v>490</v>
      </c>
      <c r="C262" s="22" t="s">
        <v>699</v>
      </c>
      <c r="D262" s="1" t="s">
        <v>2516</v>
      </c>
      <c r="E262" s="3">
        <v>0.5</v>
      </c>
      <c r="F262" s="4" t="s">
        <v>699</v>
      </c>
      <c r="G262" s="2" t="s">
        <v>528</v>
      </c>
      <c r="H262" s="166">
        <v>1E-06</v>
      </c>
      <c r="I262" s="25" t="s">
        <v>893</v>
      </c>
      <c r="J262" s="28"/>
    </row>
    <row r="263" spans="1:10" ht="15.75" customHeight="1">
      <c r="A263" s="1" t="s">
        <v>1004</v>
      </c>
      <c r="B263" s="3">
        <v>494</v>
      </c>
      <c r="C263" s="22" t="s">
        <v>699</v>
      </c>
      <c r="D263" s="2" t="s">
        <v>2258</v>
      </c>
      <c r="E263" s="215">
        <v>0</v>
      </c>
      <c r="F263" s="4" t="s">
        <v>699</v>
      </c>
      <c r="G263" s="1" t="s">
        <v>1017</v>
      </c>
      <c r="H263" s="1">
        <v>9.806</v>
      </c>
      <c r="I263" s="25" t="s">
        <v>1018</v>
      </c>
      <c r="J263" s="28"/>
    </row>
    <row r="264" spans="1:10" ht="15.75" customHeight="1">
      <c r="A264" s="1" t="s">
        <v>1005</v>
      </c>
      <c r="B264" s="3">
        <v>0.5</v>
      </c>
      <c r="C264" s="69" t="s">
        <v>2374</v>
      </c>
      <c r="D264" s="2" t="s">
        <v>1006</v>
      </c>
      <c r="E264" s="215">
        <f>2*0.001</f>
        <v>0.002</v>
      </c>
      <c r="F264" s="4" t="s">
        <v>699</v>
      </c>
      <c r="G264" s="30" t="s">
        <v>1007</v>
      </c>
      <c r="H264" s="284">
        <v>1</v>
      </c>
      <c r="J264" s="28"/>
    </row>
    <row r="265" spans="1:10" ht="15.75" customHeight="1">
      <c r="A265" s="1" t="s">
        <v>1008</v>
      </c>
      <c r="B265" s="3">
        <v>0.2</v>
      </c>
      <c r="C265" s="69" t="s">
        <v>2374</v>
      </c>
      <c r="D265" s="1" t="s">
        <v>1009</v>
      </c>
      <c r="E265" s="1">
        <v>0.98</v>
      </c>
      <c r="G265" s="30" t="s">
        <v>1010</v>
      </c>
      <c r="H265" s="284">
        <v>1</v>
      </c>
      <c r="J265" s="28"/>
    </row>
    <row r="266" spans="1:10" ht="15.75" customHeight="1">
      <c r="A266" s="1" t="s">
        <v>1011</v>
      </c>
      <c r="B266" s="3">
        <v>0.1</v>
      </c>
      <c r="C266" s="4" t="s">
        <v>699</v>
      </c>
      <c r="D266" s="2" t="s">
        <v>531</v>
      </c>
      <c r="E266" s="1">
        <v>0.6</v>
      </c>
      <c r="J266" s="28"/>
    </row>
    <row r="267" spans="3:10" ht="6" customHeight="1">
      <c r="C267" s="264"/>
      <c r="J267" s="28"/>
    </row>
    <row r="268" spans="1:10" ht="15.75" customHeight="1">
      <c r="A268" s="5" t="s">
        <v>2348</v>
      </c>
      <c r="C268" s="264"/>
      <c r="D268" s="264"/>
      <c r="E268" s="264"/>
      <c r="F268" s="4"/>
      <c r="G268" s="2"/>
      <c r="H268" s="28"/>
      <c r="I268" s="28"/>
      <c r="J268" s="28"/>
    </row>
    <row r="269" spans="1:10" ht="15.75" customHeight="1">
      <c r="A269" s="5" t="s">
        <v>2349</v>
      </c>
      <c r="C269" s="264"/>
      <c r="F269" s="264"/>
      <c r="G269" s="2"/>
      <c r="H269" s="28"/>
      <c r="I269" s="28"/>
      <c r="J269" s="28"/>
    </row>
    <row r="270" spans="6:10" ht="6" customHeight="1">
      <c r="F270" s="264"/>
      <c r="G270" s="2"/>
      <c r="H270" s="28"/>
      <c r="I270" s="28"/>
      <c r="J270" s="28"/>
    </row>
    <row r="271" spans="1:10" ht="15.75" customHeight="1">
      <c r="A271" s="5" t="s">
        <v>113</v>
      </c>
      <c r="B271" s="264"/>
      <c r="C271" s="264"/>
      <c r="D271" s="264"/>
      <c r="E271" s="264"/>
      <c r="F271" s="264"/>
      <c r="G271" s="264"/>
      <c r="H271" s="28"/>
      <c r="I271" s="28"/>
      <c r="J271" s="28"/>
    </row>
    <row r="272" spans="2:10" ht="6" customHeight="1">
      <c r="B272" s="264"/>
      <c r="C272" s="264"/>
      <c r="D272" s="264"/>
      <c r="E272" s="264"/>
      <c r="F272" s="264"/>
      <c r="G272" s="264"/>
      <c r="H272" s="28"/>
      <c r="I272" s="28"/>
      <c r="J272" s="28"/>
    </row>
    <row r="273" spans="1:10" ht="15.75" customHeight="1">
      <c r="A273" s="65" t="s">
        <v>1478</v>
      </c>
      <c r="B273"/>
      <c r="C273" s="216"/>
      <c r="D273" s="216"/>
      <c r="E273"/>
      <c r="F273"/>
      <c r="G273" s="156"/>
      <c r="H273" s="28"/>
      <c r="I273" s="28"/>
      <c r="J273" s="28"/>
    </row>
    <row r="274" spans="7:10" ht="6" customHeight="1">
      <c r="G274" s="69"/>
      <c r="H274" s="28"/>
      <c r="I274" s="28"/>
      <c r="J274" s="28"/>
    </row>
    <row r="275" spans="1:10" ht="15.75" customHeight="1">
      <c r="A275" s="120" t="s">
        <v>1797</v>
      </c>
      <c r="B275" s="137"/>
      <c r="C275" s="137"/>
      <c r="D275" s="137"/>
      <c r="E275" s="137"/>
      <c r="F275" s="137"/>
      <c r="G275" s="181"/>
      <c r="H275" s="28"/>
      <c r="I275" s="28"/>
      <c r="J275" s="28"/>
    </row>
    <row r="276" spans="1:10" ht="15.75" customHeight="1">
      <c r="A276" s="120" t="s">
        <v>1798</v>
      </c>
      <c r="B276" s="137"/>
      <c r="C276" s="137"/>
      <c r="D276" s="137"/>
      <c r="E276" s="137"/>
      <c r="F276" s="137"/>
      <c r="G276" s="181"/>
      <c r="H276" s="28"/>
      <c r="I276" s="28"/>
      <c r="J276" s="28"/>
    </row>
    <row r="277" spans="7:10" ht="6" customHeight="1">
      <c r="G277" s="69"/>
      <c r="H277" s="28"/>
      <c r="I277" s="28"/>
      <c r="J277" s="28"/>
    </row>
    <row r="278" spans="1:10" ht="15.75" customHeight="1">
      <c r="A278" s="22" t="s">
        <v>1659</v>
      </c>
      <c r="G278" s="69"/>
      <c r="H278" s="28"/>
      <c r="I278" s="28"/>
      <c r="J278" s="28"/>
    </row>
    <row r="279" spans="1:10" ht="6" customHeight="1">
      <c r="A279" s="22"/>
      <c r="G279" s="69"/>
      <c r="H279" s="28"/>
      <c r="I279" s="28"/>
      <c r="J279" s="28"/>
    </row>
    <row r="280" spans="1:10" ht="15.75" customHeight="1">
      <c r="A280" s="14" t="s">
        <v>1660</v>
      </c>
      <c r="G280" s="69"/>
      <c r="H280" s="28"/>
      <c r="I280" s="28"/>
      <c r="J280" s="28"/>
    </row>
    <row r="281" spans="1:10" ht="15.75" customHeight="1">
      <c r="A281" s="14" t="s">
        <v>1661</v>
      </c>
      <c r="G281" s="69"/>
      <c r="H281" s="28"/>
      <c r="I281" s="28"/>
      <c r="J281" s="28"/>
    </row>
    <row r="282" spans="1:10" ht="6" customHeight="1">
      <c r="A282" s="95"/>
      <c r="G282" s="69"/>
      <c r="H282" s="28"/>
      <c r="I282" s="28"/>
      <c r="J282" s="28"/>
    </row>
    <row r="283" spans="1:10" ht="15.75" customHeight="1">
      <c r="A283" s="1" t="s">
        <v>1662</v>
      </c>
      <c r="B283" s="3">
        <f>+PI()*E261^2/4</f>
        <v>0.12566370614359174</v>
      </c>
      <c r="C283" s="28" t="s">
        <v>108</v>
      </c>
      <c r="D283" s="1" t="s">
        <v>1663</v>
      </c>
      <c r="E283" s="3">
        <f>+B264/B283</f>
        <v>3.9788735772973833</v>
      </c>
      <c r="F283" s="92" t="s">
        <v>1664</v>
      </c>
      <c r="G283" s="69"/>
      <c r="H283" s="28"/>
      <c r="I283" s="28"/>
      <c r="J283" s="28"/>
    </row>
    <row r="284" spans="1:10" ht="6" customHeight="1">
      <c r="A284" s="1"/>
      <c r="B284" s="3"/>
      <c r="C284" s="28"/>
      <c r="D284" s="69"/>
      <c r="E284" s="1"/>
      <c r="F284" s="3"/>
      <c r="G284" s="3"/>
      <c r="H284" s="28"/>
      <c r="I284" s="28"/>
      <c r="J284" s="28"/>
    </row>
    <row r="285" spans="1:10" ht="15.75" customHeight="1">
      <c r="A285" s="1" t="s">
        <v>1665</v>
      </c>
      <c r="B285" s="215">
        <f>+E283*E261/$H$262</f>
        <v>1591549.4309189536</v>
      </c>
      <c r="D285" s="2" t="s">
        <v>1487</v>
      </c>
      <c r="E285" s="3">
        <f>+E263/E261</f>
        <v>0</v>
      </c>
      <c r="F285" s="69"/>
      <c r="G285" s="69"/>
      <c r="H285" s="28"/>
      <c r="I285" s="28"/>
      <c r="J285" s="28"/>
    </row>
    <row r="286" spans="1:10" ht="6" customHeight="1">
      <c r="A286" s="290"/>
      <c r="B286" s="286"/>
      <c r="G286" s="69"/>
      <c r="H286" s="28"/>
      <c r="I286" s="28"/>
      <c r="J286" s="28"/>
    </row>
    <row r="287" spans="1:10" ht="15.75" customHeight="1">
      <c r="A287" s="2" t="s">
        <v>1666</v>
      </c>
      <c r="B287" s="19">
        <v>0.010768392622698611</v>
      </c>
      <c r="C287" s="125" t="s">
        <v>985</v>
      </c>
      <c r="E287" s="215">
        <f>1/SQRT(B287)+2*LOG10(2.51/(SQRT(B287)*B285)+E285/3.71)</f>
        <v>0.00017242049809595983</v>
      </c>
      <c r="F287" s="125" t="s">
        <v>1641</v>
      </c>
      <c r="G287" s="291"/>
      <c r="H287" s="28"/>
      <c r="I287" s="28"/>
      <c r="J287" s="28"/>
    </row>
    <row r="288" spans="1:10" ht="6" customHeight="1">
      <c r="A288" s="2"/>
      <c r="B288" s="286"/>
      <c r="G288" s="69"/>
      <c r="H288" s="28"/>
      <c r="I288" s="28"/>
      <c r="J288" s="28"/>
    </row>
    <row r="289" spans="1:10" ht="15.75" customHeight="1">
      <c r="A289" s="120" t="s">
        <v>1667</v>
      </c>
      <c r="B289" s="286"/>
      <c r="G289" s="69"/>
      <c r="H289" s="28"/>
      <c r="I289" s="28"/>
      <c r="J289" s="28"/>
    </row>
    <row r="290" spans="1:10" ht="6" customHeight="1">
      <c r="A290" s="2"/>
      <c r="B290" s="286"/>
      <c r="G290" s="69"/>
      <c r="H290" s="28"/>
      <c r="I290" s="28"/>
      <c r="J290" s="28"/>
    </row>
    <row r="291" spans="1:10" ht="15.75" customHeight="1">
      <c r="A291" s="12" t="s">
        <v>990</v>
      </c>
      <c r="B291" s="19">
        <f>+(B287/E261)*E283^2/(2*H263)</f>
        <v>0.02173147910194574</v>
      </c>
      <c r="C291" s="286"/>
      <c r="D291" s="1" t="s">
        <v>1668</v>
      </c>
      <c r="E291" s="1" t="s">
        <v>1669</v>
      </c>
      <c r="F291" s="3">
        <f>+B291*E259</f>
        <v>4.3484689682993425</v>
      </c>
      <c r="G291" s="69" t="s">
        <v>699</v>
      </c>
      <c r="H291" s="28"/>
      <c r="I291" s="28"/>
      <c r="J291" s="28"/>
    </row>
    <row r="292" spans="1:10" ht="6" customHeight="1">
      <c r="A292" s="2"/>
      <c r="B292" s="286"/>
      <c r="G292" s="69"/>
      <c r="H292" s="28"/>
      <c r="I292" s="28"/>
      <c r="J292" s="28"/>
    </row>
    <row r="293" spans="1:10" ht="15.75" customHeight="1">
      <c r="A293" s="120" t="s">
        <v>1670</v>
      </c>
      <c r="B293" s="286"/>
      <c r="G293" s="69"/>
      <c r="H293" s="28"/>
      <c r="I293" s="28"/>
      <c r="J293" s="28"/>
    </row>
    <row r="294" spans="1:10" ht="6" customHeight="1">
      <c r="A294" s="290"/>
      <c r="B294" s="286"/>
      <c r="G294" s="69"/>
      <c r="H294" s="28"/>
      <c r="I294" s="28"/>
      <c r="J294" s="28"/>
    </row>
    <row r="295" spans="1:10" ht="15.75" customHeight="1">
      <c r="A295" s="1" t="s">
        <v>1671</v>
      </c>
      <c r="B295" s="292">
        <f>0.5*E283^2/(2*H263)</f>
        <v>0.4036160244777503</v>
      </c>
      <c r="C295" s="69" t="s">
        <v>699</v>
      </c>
      <c r="D295" s="69"/>
      <c r="E295" s="1" t="s">
        <v>1672</v>
      </c>
      <c r="F295" s="292">
        <f>E283^2/(2*H263)</f>
        <v>0.8072320489555006</v>
      </c>
      <c r="G295" s="69" t="s">
        <v>699</v>
      </c>
      <c r="H295" s="28"/>
      <c r="I295" s="28"/>
      <c r="J295" s="28"/>
    </row>
    <row r="296" spans="1:10" ht="15.75" customHeight="1">
      <c r="A296" s="14" t="s">
        <v>1673</v>
      </c>
      <c r="B296" s="69"/>
      <c r="G296" s="69"/>
      <c r="H296" s="28"/>
      <c r="I296" s="28"/>
      <c r="J296" s="28"/>
    </row>
    <row r="297" spans="1:10" ht="6" customHeight="1">
      <c r="A297" s="95"/>
      <c r="B297" s="69"/>
      <c r="G297" s="69"/>
      <c r="H297" s="28"/>
      <c r="I297" s="28"/>
      <c r="J297" s="28"/>
    </row>
    <row r="298" spans="1:10" ht="15.75" customHeight="1">
      <c r="A298" s="22" t="s">
        <v>1674</v>
      </c>
      <c r="B298" s="291"/>
      <c r="D298" s="69"/>
      <c r="E298" s="3">
        <f>+B259+B295+F291+F295-B260</f>
        <v>55.559317041732584</v>
      </c>
      <c r="F298" s="69" t="s">
        <v>699</v>
      </c>
      <c r="G298" s="69"/>
      <c r="H298" s="28"/>
      <c r="I298" s="28"/>
      <c r="J298" s="28"/>
    </row>
    <row r="299" spans="7:10" ht="6" customHeight="1">
      <c r="G299" s="69"/>
      <c r="H299" s="28"/>
      <c r="I299" s="28"/>
      <c r="J299" s="28"/>
    </row>
    <row r="300" spans="1:10" ht="15.75" customHeight="1">
      <c r="A300" s="14" t="s">
        <v>1675</v>
      </c>
      <c r="G300" s="69"/>
      <c r="H300" s="28"/>
      <c r="I300" s="28"/>
      <c r="J300" s="28"/>
    </row>
    <row r="301" spans="1:10" ht="6" customHeight="1">
      <c r="A301" s="144"/>
      <c r="G301" s="69"/>
      <c r="H301" s="28"/>
      <c r="I301" s="28"/>
      <c r="J301" s="28"/>
    </row>
    <row r="302" spans="1:10" ht="15.75" customHeight="1">
      <c r="A302" s="266"/>
      <c r="B302" s="23" t="s">
        <v>1676</v>
      </c>
      <c r="C302" s="268"/>
      <c r="D302" s="276">
        <f>+H261*B264*E298/H260</f>
        <v>389153.33065087843</v>
      </c>
      <c r="E302" s="270" t="s">
        <v>1214</v>
      </c>
      <c r="G302" s="69"/>
      <c r="H302" s="28"/>
      <c r="I302" s="28"/>
      <c r="J302" s="28"/>
    </row>
    <row r="303" spans="1:10" ht="6" customHeight="1">
      <c r="A303" s="293"/>
      <c r="B303" s="293"/>
      <c r="C303" s="294"/>
      <c r="D303" s="295"/>
      <c r="E303" s="296"/>
      <c r="F303" s="28"/>
      <c r="G303" s="69"/>
      <c r="H303" s="28"/>
      <c r="I303" s="28"/>
      <c r="J303" s="28"/>
    </row>
    <row r="304" spans="1:10" ht="15.75" customHeight="1">
      <c r="A304" s="65" t="s">
        <v>1677</v>
      </c>
      <c r="H304" s="28"/>
      <c r="I304" s="28"/>
      <c r="J304" s="28"/>
    </row>
    <row r="305" spans="8:10" ht="6" customHeight="1">
      <c r="H305" s="28"/>
      <c r="I305" s="28"/>
      <c r="J305" s="28"/>
    </row>
    <row r="306" spans="1:10" ht="15.75" customHeight="1">
      <c r="A306" s="120" t="s">
        <v>1678</v>
      </c>
      <c r="H306" s="28"/>
      <c r="I306" s="28"/>
      <c r="J306" s="28"/>
    </row>
    <row r="307" spans="1:10" ht="15.75" customHeight="1">
      <c r="A307" s="120" t="s">
        <v>1679</v>
      </c>
      <c r="H307" s="28"/>
      <c r="I307" s="28"/>
      <c r="J307" s="28"/>
    </row>
    <row r="308" spans="1:10" ht="15.75" customHeight="1">
      <c r="A308" s="137" t="s">
        <v>1680</v>
      </c>
      <c r="H308" s="28"/>
      <c r="I308" s="28"/>
      <c r="J308" s="28"/>
    </row>
    <row r="309" spans="8:10" ht="6" customHeight="1">
      <c r="H309" s="28"/>
      <c r="I309" s="28"/>
      <c r="J309" s="28"/>
    </row>
    <row r="310" spans="1:10" ht="15.75" customHeight="1">
      <c r="A310" s="1" t="s">
        <v>1681</v>
      </c>
      <c r="B310" s="3">
        <f>+B259-B262</f>
        <v>10</v>
      </c>
      <c r="C310" s="120" t="s">
        <v>699</v>
      </c>
      <c r="D310" s="74" t="s">
        <v>1682</v>
      </c>
      <c r="E310" s="268"/>
      <c r="F310" s="8">
        <f>+E266*(PI()*(B266^2)/4)*SQRT(2*H263*B310)</f>
        <v>0.0659936385878874</v>
      </c>
      <c r="G310" s="161" t="s">
        <v>2374</v>
      </c>
      <c r="H310" s="28"/>
      <c r="I310" s="28"/>
      <c r="J310" s="28"/>
    </row>
    <row r="311" spans="8:10" ht="6" customHeight="1">
      <c r="H311" s="28"/>
      <c r="I311" s="28"/>
      <c r="J311" s="28"/>
    </row>
    <row r="312" spans="1:10" ht="15.75" customHeight="1">
      <c r="A312" s="1" t="s">
        <v>1683</v>
      </c>
      <c r="B312" s="3">
        <f>+B259-B263</f>
        <v>6</v>
      </c>
      <c r="C312" s="120" t="s">
        <v>699</v>
      </c>
      <c r="D312" s="74" t="s">
        <v>1952</v>
      </c>
      <c r="E312" s="297"/>
      <c r="F312" s="8">
        <f>+E265*(PI()*(B266^2)/4)*SQRT(2*H263*B312)</f>
        <v>0.0834934726474629</v>
      </c>
      <c r="G312" s="161" t="s">
        <v>2374</v>
      </c>
      <c r="H312" s="28"/>
      <c r="I312" s="28"/>
      <c r="J312" s="28"/>
    </row>
    <row r="313" spans="8:10" ht="6" customHeight="1">
      <c r="H313" s="28"/>
      <c r="I313" s="28"/>
      <c r="J313" s="28"/>
    </row>
    <row r="314" spans="1:10" ht="15.75" customHeight="1">
      <c r="A314" s="65" t="s">
        <v>1953</v>
      </c>
      <c r="B314" s="293"/>
      <c r="C314" s="294"/>
      <c r="D314" s="295"/>
      <c r="E314" s="296"/>
      <c r="F314" s="28"/>
      <c r="G314" s="69"/>
      <c r="H314" s="28"/>
      <c r="I314" s="28"/>
      <c r="J314" s="28"/>
    </row>
    <row r="315" spans="1:10" ht="15.75" customHeight="1">
      <c r="A315" s="120" t="s">
        <v>1954</v>
      </c>
      <c r="B315" s="293"/>
      <c r="C315" s="294"/>
      <c r="D315" s="295"/>
      <c r="E315" s="296"/>
      <c r="F315" s="28"/>
      <c r="G315" s="69"/>
      <c r="H315" s="28"/>
      <c r="I315" s="28"/>
      <c r="J315" s="28"/>
    </row>
    <row r="316" spans="1:10" ht="6" customHeight="1">
      <c r="A316" s="293"/>
      <c r="B316" s="293"/>
      <c r="C316" s="294"/>
      <c r="D316" s="295"/>
      <c r="E316" s="296"/>
      <c r="F316" s="28"/>
      <c r="G316" s="69"/>
      <c r="H316" s="28"/>
      <c r="I316" s="28"/>
      <c r="J316" s="28"/>
    </row>
    <row r="317" spans="1:10" ht="15.75" customHeight="1">
      <c r="A317" s="69"/>
      <c r="B317" s="10" t="s">
        <v>1955</v>
      </c>
      <c r="C317" s="161"/>
      <c r="D317" s="8">
        <f>+B264-F310-F312+B265</f>
        <v>0.5505128887646498</v>
      </c>
      <c r="E317" s="161" t="s">
        <v>2374</v>
      </c>
      <c r="F317" s="28"/>
      <c r="G317" s="69"/>
      <c r="H317" s="28"/>
      <c r="I317" s="28"/>
      <c r="J317" s="28"/>
    </row>
    <row r="318" spans="1:10" ht="6" customHeight="1">
      <c r="A318"/>
      <c r="B318"/>
      <c r="C318"/>
      <c r="D318"/>
      <c r="E318"/>
      <c r="F318"/>
      <c r="G318" s="156"/>
      <c r="H318" s="28"/>
      <c r="I318" s="28"/>
      <c r="J318" s="28"/>
    </row>
    <row r="319" spans="1:10" ht="15.75" customHeight="1">
      <c r="A319" s="65" t="s">
        <v>1956</v>
      </c>
      <c r="B319"/>
      <c r="C319" s="216"/>
      <c r="D319" s="216"/>
      <c r="E319"/>
      <c r="F319"/>
      <c r="G319" s="156"/>
      <c r="H319" s="28"/>
      <c r="I319" s="28"/>
      <c r="J319" s="28"/>
    </row>
    <row r="320" spans="7:10" ht="6" customHeight="1">
      <c r="G320" s="69"/>
      <c r="H320" s="28"/>
      <c r="I320" s="28"/>
      <c r="J320" s="28"/>
    </row>
    <row r="321" spans="1:10" ht="15.75" customHeight="1">
      <c r="A321" s="120" t="s">
        <v>1957</v>
      </c>
      <c r="B321" s="137"/>
      <c r="C321" s="137"/>
      <c r="D321" s="137"/>
      <c r="E321" s="137"/>
      <c r="F321" s="137"/>
      <c r="G321" s="181"/>
      <c r="H321" s="28"/>
      <c r="I321" s="28"/>
      <c r="J321" s="28"/>
    </row>
    <row r="322" spans="1:10" ht="15.75" customHeight="1">
      <c r="A322" s="120" t="s">
        <v>1958</v>
      </c>
      <c r="B322" s="137"/>
      <c r="C322" s="137"/>
      <c r="D322" s="137"/>
      <c r="E322" s="137"/>
      <c r="F322" s="137"/>
      <c r="G322" s="181"/>
      <c r="H322" s="28"/>
      <c r="I322" s="28"/>
      <c r="J322" s="28"/>
    </row>
    <row r="323" spans="7:10" ht="6" customHeight="1">
      <c r="G323" s="69"/>
      <c r="H323" s="28"/>
      <c r="I323" s="28"/>
      <c r="J323" s="28"/>
    </row>
    <row r="324" spans="1:10" ht="15.75" customHeight="1">
      <c r="A324" s="22" t="s">
        <v>2140</v>
      </c>
      <c r="G324" s="69"/>
      <c r="H324" s="28"/>
      <c r="I324" s="28"/>
      <c r="J324" s="28"/>
    </row>
    <row r="325" spans="1:10" ht="6" customHeight="1">
      <c r="A325" s="22"/>
      <c r="G325" s="69"/>
      <c r="H325" s="28"/>
      <c r="I325" s="28"/>
      <c r="J325" s="28"/>
    </row>
    <row r="326" spans="1:10" ht="15.75" customHeight="1">
      <c r="A326" s="14" t="s">
        <v>2141</v>
      </c>
      <c r="G326" s="69"/>
      <c r="H326" s="28"/>
      <c r="I326" s="28"/>
      <c r="J326" s="28"/>
    </row>
    <row r="327" spans="1:10" ht="15.75" customHeight="1">
      <c r="A327" s="14" t="s">
        <v>2142</v>
      </c>
      <c r="G327" s="69"/>
      <c r="H327" s="28"/>
      <c r="I327" s="28"/>
      <c r="J327" s="28"/>
    </row>
    <row r="328" spans="1:10" ht="6" customHeight="1">
      <c r="A328" s="95"/>
      <c r="G328" s="69"/>
      <c r="H328" s="28"/>
      <c r="I328" s="28"/>
      <c r="J328" s="28"/>
    </row>
    <row r="329" spans="1:10" ht="15.75" customHeight="1">
      <c r="A329" s="1" t="s">
        <v>2143</v>
      </c>
      <c r="B329" s="3">
        <f>+PI()*E262^2/4</f>
        <v>0.19634954084936207</v>
      </c>
      <c r="C329" s="28" t="s">
        <v>108</v>
      </c>
      <c r="D329" s="1" t="s">
        <v>2144</v>
      </c>
      <c r="E329" s="3">
        <f>+D317/B329</f>
        <v>2.803739119446168</v>
      </c>
      <c r="F329" s="92" t="s">
        <v>1664</v>
      </c>
      <c r="G329" s="69"/>
      <c r="H329" s="28"/>
      <c r="I329" s="28"/>
      <c r="J329" s="28"/>
    </row>
    <row r="330" spans="1:10" ht="6" customHeight="1">
      <c r="A330" s="1"/>
      <c r="B330" s="3"/>
      <c r="C330" s="28"/>
      <c r="D330" s="69"/>
      <c r="E330" s="1"/>
      <c r="F330" s="3"/>
      <c r="G330" s="3"/>
      <c r="H330" s="28"/>
      <c r="I330" s="28"/>
      <c r="J330" s="28"/>
    </row>
    <row r="331" spans="1:10" ht="15.75" customHeight="1">
      <c r="A331" s="1" t="s">
        <v>2145</v>
      </c>
      <c r="B331" s="215">
        <f>+E329*E262/H262</f>
        <v>1401869.5597230839</v>
      </c>
      <c r="D331" s="2" t="s">
        <v>1488</v>
      </c>
      <c r="E331" s="3">
        <f>+E264/E262</f>
        <v>0.004</v>
      </c>
      <c r="F331" s="69"/>
      <c r="G331" s="69"/>
      <c r="H331" s="28"/>
      <c r="I331" s="28"/>
      <c r="J331" s="28"/>
    </row>
    <row r="332" spans="1:10" ht="6" customHeight="1">
      <c r="A332" s="290"/>
      <c r="B332" s="286"/>
      <c r="G332" s="69"/>
      <c r="H332" s="28"/>
      <c r="I332" s="28"/>
      <c r="J332" s="28"/>
    </row>
    <row r="333" spans="1:10" ht="15.75" customHeight="1">
      <c r="A333" s="2" t="s">
        <v>2146</v>
      </c>
      <c r="B333" s="19">
        <v>0.028474897089079094</v>
      </c>
      <c r="C333" s="84" t="s">
        <v>2147</v>
      </c>
      <c r="E333" s="215">
        <f>1/SQRT(B333)+2*LOG10(2.51/(SQRT(B333)*B331)+E331/3.71)</f>
        <v>-2.243040595661938E-05</v>
      </c>
      <c r="F333" s="125" t="s">
        <v>1641</v>
      </c>
      <c r="G333" s="69"/>
      <c r="H333" s="28"/>
      <c r="I333" s="28"/>
      <c r="J333" s="28"/>
    </row>
    <row r="334" spans="1:10" ht="6" customHeight="1">
      <c r="A334" s="2"/>
      <c r="B334" s="286"/>
      <c r="G334" s="69"/>
      <c r="H334" s="28"/>
      <c r="I334" s="28"/>
      <c r="J334" s="28"/>
    </row>
    <row r="335" spans="1:10" ht="15.75" customHeight="1">
      <c r="A335" s="120" t="s">
        <v>867</v>
      </c>
      <c r="B335" s="286"/>
      <c r="G335" s="69"/>
      <c r="H335" s="28"/>
      <c r="I335" s="28"/>
      <c r="J335" s="28"/>
    </row>
    <row r="336" spans="1:10" ht="6" customHeight="1">
      <c r="A336" s="2"/>
      <c r="B336" s="286"/>
      <c r="G336" s="69"/>
      <c r="H336" s="28"/>
      <c r="I336" s="28"/>
      <c r="J336" s="28"/>
    </row>
    <row r="337" spans="1:10" ht="15.75" customHeight="1">
      <c r="A337" s="14" t="s">
        <v>2148</v>
      </c>
      <c r="C337" s="19">
        <f>+(B333/E262)*E329^2/(2*H263)</f>
        <v>0.022826823283535455</v>
      </c>
      <c r="D337" s="1" t="s">
        <v>1190</v>
      </c>
      <c r="E337" s="1" t="s">
        <v>2149</v>
      </c>
      <c r="F337" s="3">
        <f>+C337*E260</f>
        <v>11.415694324096082</v>
      </c>
      <c r="G337" s="69" t="s">
        <v>699</v>
      </c>
      <c r="H337" s="28"/>
      <c r="I337" s="28"/>
      <c r="J337" s="28"/>
    </row>
    <row r="338" spans="1:10" ht="6" customHeight="1">
      <c r="A338" s="2"/>
      <c r="B338" s="286"/>
      <c r="G338" s="69"/>
      <c r="H338" s="28"/>
      <c r="I338" s="28"/>
      <c r="J338" s="28"/>
    </row>
    <row r="339" spans="1:10" ht="15.75" customHeight="1">
      <c r="A339" s="120" t="s">
        <v>2150</v>
      </c>
      <c r="B339" s="286"/>
      <c r="G339" s="69"/>
      <c r="H339" s="28"/>
      <c r="I339" s="28"/>
      <c r="J339" s="28"/>
    </row>
    <row r="340" spans="1:10" ht="6" customHeight="1">
      <c r="A340" s="290"/>
      <c r="B340" s="286"/>
      <c r="G340" s="69"/>
      <c r="H340" s="28"/>
      <c r="I340" s="28"/>
      <c r="J340" s="28"/>
    </row>
    <row r="341" spans="1:10" ht="15.75" customHeight="1">
      <c r="A341" s="1" t="s">
        <v>2151</v>
      </c>
      <c r="B341" s="292">
        <f>E329^2/(2*H263)</f>
        <v>0.40082363093579304</v>
      </c>
      <c r="C341" s="69" t="s">
        <v>699</v>
      </c>
      <c r="D341" s="69"/>
      <c r="E341" s="69"/>
      <c r="F341" s="69"/>
      <c r="G341" s="69"/>
      <c r="H341" s="28"/>
      <c r="I341" s="28"/>
      <c r="J341" s="28"/>
    </row>
    <row r="342" spans="1:10" ht="6" customHeight="1">
      <c r="A342" s="1"/>
      <c r="B342" s="292"/>
      <c r="C342" s="69"/>
      <c r="D342" s="69"/>
      <c r="E342" s="69"/>
      <c r="F342" s="69"/>
      <c r="G342" s="69"/>
      <c r="H342" s="28"/>
      <c r="I342" s="28"/>
      <c r="J342" s="28"/>
    </row>
    <row r="343" spans="1:10" ht="15.75" customHeight="1">
      <c r="A343" s="14" t="s">
        <v>2152</v>
      </c>
      <c r="B343" s="69"/>
      <c r="G343" s="69"/>
      <c r="H343" s="28"/>
      <c r="I343" s="28"/>
      <c r="J343" s="28"/>
    </row>
    <row r="344" spans="1:10" ht="6" customHeight="1">
      <c r="A344" s="95"/>
      <c r="B344" s="69"/>
      <c r="G344" s="69"/>
      <c r="H344" s="28"/>
      <c r="I344" s="28"/>
      <c r="J344" s="28"/>
    </row>
    <row r="345" spans="2:10" ht="15.75" customHeight="1">
      <c r="B345" s="267" t="s">
        <v>2153</v>
      </c>
      <c r="E345" s="3">
        <f>+B259-F337-B341-B261</f>
        <v>288.1834820449681</v>
      </c>
      <c r="F345" s="69" t="s">
        <v>699</v>
      </c>
      <c r="G345" s="69"/>
      <c r="H345" s="28"/>
      <c r="I345" s="28"/>
      <c r="J345" s="28"/>
    </row>
    <row r="346" spans="7:10" ht="6" customHeight="1">
      <c r="G346" s="69"/>
      <c r="H346" s="28"/>
      <c r="I346" s="28"/>
      <c r="J346" s="28"/>
    </row>
    <row r="347" spans="1:10" ht="15.75" customHeight="1">
      <c r="A347" s="14" t="s">
        <v>2154</v>
      </c>
      <c r="G347" s="69"/>
      <c r="H347" s="28"/>
      <c r="I347" s="28"/>
      <c r="J347" s="28"/>
    </row>
    <row r="348" spans="1:10" ht="6" customHeight="1">
      <c r="A348" s="144"/>
      <c r="G348" s="69"/>
      <c r="H348" s="28"/>
      <c r="I348" s="28"/>
      <c r="J348" s="28"/>
    </row>
    <row r="349" spans="1:10" ht="15.75" customHeight="1">
      <c r="A349" s="266"/>
      <c r="B349" s="23" t="s">
        <v>2155</v>
      </c>
      <c r="C349" s="268"/>
      <c r="D349" s="276">
        <f>+H259*H261*D317*E345</f>
        <v>1244567.4880292101</v>
      </c>
      <c r="E349" s="270" t="s">
        <v>1214</v>
      </c>
      <c r="G349" s="69"/>
      <c r="H349" s="28"/>
      <c r="I349" s="28"/>
      <c r="J349" s="28"/>
    </row>
    <row r="350" spans="1:10" ht="6" customHeight="1">
      <c r="A350" s="85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6" customHeight="1">
      <c r="A351" s="93"/>
      <c r="B351" s="131"/>
      <c r="C351" s="131"/>
      <c r="D351" s="131"/>
      <c r="E351" s="131"/>
      <c r="F351" s="131"/>
      <c r="G351" s="131"/>
      <c r="H351" s="131"/>
      <c r="I351" s="131"/>
      <c r="J351" s="28"/>
    </row>
    <row r="352" ht="6" customHeight="1"/>
    <row r="353" spans="1:2" ht="15.75" customHeight="1">
      <c r="A353" s="85" t="s">
        <v>2156</v>
      </c>
      <c r="B353" s="28"/>
    </row>
    <row r="354" ht="6" customHeight="1">
      <c r="A354" s="1"/>
    </row>
    <row r="355" ht="15.75" customHeight="1">
      <c r="A355" s="5" t="s">
        <v>112</v>
      </c>
    </row>
    <row r="356" ht="6" customHeight="1"/>
    <row r="357" spans="1:8" ht="15.75" customHeight="1">
      <c r="A357" s="1" t="s">
        <v>2157</v>
      </c>
      <c r="B357" s="3">
        <v>6</v>
      </c>
      <c r="C357" s="22" t="s">
        <v>699</v>
      </c>
      <c r="D357" s="1" t="s">
        <v>892</v>
      </c>
      <c r="E357" s="3">
        <v>15</v>
      </c>
      <c r="F357" s="4" t="s">
        <v>699</v>
      </c>
      <c r="G357" s="2" t="s">
        <v>2158</v>
      </c>
      <c r="H357" s="1">
        <v>0.3</v>
      </c>
    </row>
    <row r="358" spans="1:9" ht="15.75" customHeight="1">
      <c r="A358" s="1" t="s">
        <v>2025</v>
      </c>
      <c r="B358" s="3">
        <v>0</v>
      </c>
      <c r="C358" s="22" t="s">
        <v>699</v>
      </c>
      <c r="D358" s="1" t="s">
        <v>2159</v>
      </c>
      <c r="E358" s="3">
        <v>12</v>
      </c>
      <c r="F358" s="4" t="s">
        <v>699</v>
      </c>
      <c r="G358" s="2" t="s">
        <v>526</v>
      </c>
      <c r="H358" s="1">
        <v>0.75</v>
      </c>
      <c r="I358" s="264"/>
    </row>
    <row r="359" spans="1:9" ht="15.75" customHeight="1">
      <c r="A359" s="2" t="s">
        <v>698</v>
      </c>
      <c r="B359" s="68">
        <v>7845</v>
      </c>
      <c r="C359" s="22" t="s">
        <v>713</v>
      </c>
      <c r="D359" s="1" t="s">
        <v>2160</v>
      </c>
      <c r="E359" s="3">
        <v>13</v>
      </c>
      <c r="F359" s="4" t="s">
        <v>699</v>
      </c>
      <c r="G359" s="2" t="s">
        <v>2515</v>
      </c>
      <c r="H359" s="3">
        <v>0.9</v>
      </c>
      <c r="I359" s="22" t="s">
        <v>699</v>
      </c>
    </row>
    <row r="360" spans="1:9" ht="15.75" customHeight="1">
      <c r="A360" s="2" t="s">
        <v>528</v>
      </c>
      <c r="B360" s="138">
        <v>2.3E-06</v>
      </c>
      <c r="C360" s="22" t="s">
        <v>893</v>
      </c>
      <c r="D360" s="1" t="s">
        <v>2515</v>
      </c>
      <c r="E360" s="3">
        <v>0.5</v>
      </c>
      <c r="F360" s="4" t="s">
        <v>699</v>
      </c>
      <c r="G360" s="2" t="s">
        <v>2516</v>
      </c>
      <c r="H360" s="3">
        <v>0.2</v>
      </c>
      <c r="I360" s="22" t="s">
        <v>699</v>
      </c>
    </row>
    <row r="361" spans="1:8" ht="15.75" customHeight="1">
      <c r="A361" s="2" t="s">
        <v>2277</v>
      </c>
      <c r="B361" s="1">
        <v>133362</v>
      </c>
      <c r="C361" s="22" t="s">
        <v>713</v>
      </c>
      <c r="D361" s="1" t="s">
        <v>2161</v>
      </c>
      <c r="E361" s="3">
        <v>0.3</v>
      </c>
      <c r="F361" s="4" t="s">
        <v>699</v>
      </c>
      <c r="G361" s="2" t="s">
        <v>705</v>
      </c>
      <c r="H361" s="6">
        <v>1</v>
      </c>
    </row>
    <row r="362" spans="1:7" ht="15.75" customHeight="1">
      <c r="A362" s="1" t="s">
        <v>1017</v>
      </c>
      <c r="B362" s="1">
        <v>9.806</v>
      </c>
      <c r="C362" s="22" t="s">
        <v>1018</v>
      </c>
      <c r="D362" s="2" t="s">
        <v>2162</v>
      </c>
      <c r="E362" s="215">
        <f>1*0.001</f>
        <v>0.001</v>
      </c>
      <c r="F362" s="4" t="s">
        <v>699</v>
      </c>
      <c r="G362" s="264"/>
    </row>
    <row r="363" spans="3:7" ht="6" customHeight="1">
      <c r="C363" s="264"/>
      <c r="G363" s="264"/>
    </row>
    <row r="364" spans="1:7" ht="15.75" customHeight="1">
      <c r="A364" s="5" t="s">
        <v>2458</v>
      </c>
      <c r="F364" s="264"/>
      <c r="G364" s="264"/>
    </row>
    <row r="365" spans="1:7" ht="15.75" customHeight="1">
      <c r="A365" s="5" t="s">
        <v>959</v>
      </c>
      <c r="D365" s="264"/>
      <c r="E365" s="264"/>
      <c r="F365" s="264"/>
      <c r="G365" s="264"/>
    </row>
    <row r="366" spans="1:7" ht="6" customHeight="1">
      <c r="A366" s="264"/>
      <c r="B366" s="264"/>
      <c r="C366" s="264"/>
      <c r="D366" s="2"/>
      <c r="E366" s="6"/>
      <c r="F366" s="4"/>
      <c r="G366" s="264"/>
    </row>
    <row r="367" spans="1:7" ht="15.75" customHeight="1">
      <c r="A367" s="5" t="s">
        <v>113</v>
      </c>
      <c r="B367" s="264"/>
      <c r="C367" s="264"/>
      <c r="D367" s="2"/>
      <c r="E367" s="6"/>
      <c r="F367" s="4"/>
      <c r="G367" s="264"/>
    </row>
    <row r="368" spans="2:7" ht="6" customHeight="1">
      <c r="B368" s="264"/>
      <c r="C368" s="264"/>
      <c r="D368" s="2"/>
      <c r="E368" s="6"/>
      <c r="F368" s="4"/>
      <c r="G368" s="264"/>
    </row>
    <row r="369" spans="1:7" ht="15.75" customHeight="1">
      <c r="A369" s="265" t="s">
        <v>1729</v>
      </c>
      <c r="B369" s="264"/>
      <c r="C369" s="264"/>
      <c r="D369" s="264"/>
      <c r="E369" s="264"/>
      <c r="F369" s="264"/>
      <c r="G369" s="264"/>
    </row>
    <row r="370" spans="1:7" ht="15.75" customHeight="1">
      <c r="A370" s="266"/>
      <c r="B370" s="264"/>
      <c r="C370" s="264"/>
      <c r="D370" s="264"/>
      <c r="E370" s="264"/>
      <c r="F370" s="264"/>
      <c r="G370" s="264"/>
    </row>
    <row r="371" spans="1:7" ht="15.75" customHeight="1">
      <c r="A371" s="14" t="s">
        <v>2459</v>
      </c>
      <c r="B371" s="264"/>
      <c r="C371" s="264"/>
      <c r="D371" s="264"/>
      <c r="E371" s="264"/>
      <c r="F371" s="264"/>
      <c r="G371" s="264"/>
    </row>
    <row r="372" spans="1:7" ht="6" customHeight="1">
      <c r="A372" s="264"/>
      <c r="B372" s="264"/>
      <c r="C372" s="264"/>
      <c r="D372" s="264"/>
      <c r="E372" s="264"/>
      <c r="F372" s="264"/>
      <c r="G372" s="264"/>
    </row>
    <row r="373" spans="1:7" ht="15.75" customHeight="1">
      <c r="A373" s="264"/>
      <c r="B373" s="266" t="s">
        <v>1469</v>
      </c>
      <c r="C373" s="264"/>
      <c r="D373" s="264"/>
      <c r="E373" s="264"/>
      <c r="F373" s="264"/>
      <c r="G373" s="264"/>
    </row>
    <row r="374" spans="1:7" ht="6" customHeight="1">
      <c r="A374" s="264"/>
      <c r="B374" s="266"/>
      <c r="C374" s="264"/>
      <c r="D374" s="264"/>
      <c r="E374" s="264"/>
      <c r="F374" s="264"/>
      <c r="G374" s="264"/>
    </row>
    <row r="375" spans="1:7" ht="15.75" customHeight="1">
      <c r="A375" s="14" t="s">
        <v>2460</v>
      </c>
      <c r="B375" s="266"/>
      <c r="C375" s="264"/>
      <c r="D375" s="264"/>
      <c r="E375" s="264"/>
      <c r="F375" s="264"/>
      <c r="G375" s="264"/>
    </row>
    <row r="376" spans="1:7" ht="6" customHeight="1">
      <c r="A376" s="22"/>
      <c r="B376" s="264"/>
      <c r="C376" s="264"/>
      <c r="D376" s="264"/>
      <c r="E376" s="264"/>
      <c r="F376" s="264"/>
      <c r="G376" s="264"/>
    </row>
    <row r="377" spans="1:7" ht="15.75" customHeight="1">
      <c r="A377" s="267" t="s">
        <v>2461</v>
      </c>
      <c r="B377" s="264"/>
      <c r="C377" s="264"/>
      <c r="D377" s="264"/>
      <c r="E377" s="264"/>
      <c r="F377" s="264"/>
      <c r="G377" s="22"/>
    </row>
    <row r="378" spans="1:7" ht="6" customHeight="1">
      <c r="A378" s="264"/>
      <c r="B378" s="264"/>
      <c r="C378" s="264"/>
      <c r="D378" s="264"/>
      <c r="E378" s="264"/>
      <c r="F378" s="264"/>
      <c r="G378" s="264"/>
    </row>
    <row r="379" spans="1:7" ht="15.75" customHeight="1">
      <c r="A379" s="22" t="s">
        <v>2462</v>
      </c>
      <c r="B379" s="23" t="s">
        <v>2463</v>
      </c>
      <c r="C379" s="268"/>
      <c r="D379" s="268"/>
      <c r="E379" s="74"/>
      <c r="F379" s="153">
        <f>+SQRT((2*B362*H359/((1+H357)/(PI()*E361^2/4)^2-1/(PI()*E360^2/4)^2)))</f>
        <v>0.27450321244120757</v>
      </c>
      <c r="G379" s="269" t="s">
        <v>2374</v>
      </c>
    </row>
    <row r="380" spans="1:7" ht="6" customHeight="1">
      <c r="A380" s="22"/>
      <c r="B380" s="22"/>
      <c r="C380" s="22"/>
      <c r="D380" s="22"/>
      <c r="E380" s="22"/>
      <c r="F380" s="22"/>
      <c r="G380" s="22"/>
    </row>
    <row r="381" s="265" customFormat="1" ht="15.75" customHeight="1">
      <c r="A381" s="265" t="s">
        <v>2464</v>
      </c>
    </row>
    <row r="382" spans="1:7" ht="6" customHeight="1">
      <c r="A382" s="5"/>
      <c r="B382" s="22"/>
      <c r="C382" s="22"/>
      <c r="D382" s="22"/>
      <c r="E382" s="22"/>
      <c r="F382" s="22"/>
      <c r="G382" s="22"/>
    </row>
    <row r="383" spans="1:7" ht="15.75" customHeight="1">
      <c r="A383" s="14" t="s">
        <v>2465</v>
      </c>
      <c r="B383" s="22"/>
      <c r="C383" s="22"/>
      <c r="D383" s="22"/>
      <c r="E383" s="22"/>
      <c r="F383" s="22"/>
      <c r="G383" s="22"/>
    </row>
    <row r="384" spans="1:7" ht="6" customHeight="1">
      <c r="A384" s="22"/>
      <c r="B384" s="22"/>
      <c r="C384" s="22"/>
      <c r="D384" s="22"/>
      <c r="E384" s="22"/>
      <c r="F384" s="22"/>
      <c r="G384" s="22"/>
    </row>
    <row r="385" spans="1:7" ht="15.75" customHeight="1">
      <c r="A385" s="22"/>
      <c r="B385" s="266" t="s">
        <v>2466</v>
      </c>
      <c r="C385" s="22"/>
      <c r="D385" s="22"/>
      <c r="E385" s="22"/>
      <c r="F385" s="22"/>
      <c r="G385" s="22"/>
    </row>
    <row r="386" spans="1:7" ht="6" customHeight="1">
      <c r="A386" s="22"/>
      <c r="B386" s="266"/>
      <c r="C386" s="22"/>
      <c r="D386" s="22"/>
      <c r="E386" s="22"/>
      <c r="F386" s="22"/>
      <c r="G386" s="22"/>
    </row>
    <row r="387" spans="1:7" ht="15.75" customHeight="1">
      <c r="A387" s="14" t="s">
        <v>1470</v>
      </c>
      <c r="B387" s="266"/>
      <c r="C387" s="22"/>
      <c r="D387" s="22"/>
      <c r="E387" s="22"/>
      <c r="F387" s="22"/>
      <c r="G387" s="22"/>
    </row>
    <row r="388" spans="1:7" ht="6" customHeight="1">
      <c r="A388" s="22"/>
      <c r="B388" s="22"/>
      <c r="C388" s="22"/>
      <c r="D388" s="22"/>
      <c r="E388" s="22"/>
      <c r="F388" s="22"/>
      <c r="G388" s="22"/>
    </row>
    <row r="389" spans="1:7" ht="15.75" customHeight="1">
      <c r="A389" s="267" t="s">
        <v>2467</v>
      </c>
      <c r="B389" s="22"/>
      <c r="C389" s="22"/>
      <c r="D389" s="22"/>
      <c r="E389" s="22"/>
      <c r="F389" s="22"/>
      <c r="G389" s="264"/>
    </row>
    <row r="390" spans="1:7" ht="6" customHeight="1">
      <c r="A390" s="22"/>
      <c r="B390" s="22"/>
      <c r="C390" s="22"/>
      <c r="D390" s="22"/>
      <c r="E390" s="22"/>
      <c r="F390" s="22"/>
      <c r="G390" s="22"/>
    </row>
    <row r="391" spans="1:7" ht="15.75" customHeight="1">
      <c r="A391" s="14" t="s">
        <v>2468</v>
      </c>
      <c r="B391" s="264"/>
      <c r="C391" s="22"/>
      <c r="D391" s="22" t="s">
        <v>2469</v>
      </c>
      <c r="E391" s="264"/>
      <c r="F391" s="22"/>
      <c r="G391" s="22"/>
    </row>
    <row r="392" spans="1:7" ht="6" customHeight="1">
      <c r="A392" s="22"/>
      <c r="B392" s="264"/>
      <c r="C392" s="22"/>
      <c r="D392" s="22"/>
      <c r="E392" s="22"/>
      <c r="F392" s="22"/>
      <c r="G392" s="22"/>
    </row>
    <row r="393" spans="1:7" ht="15.75" customHeight="1">
      <c r="A393" s="14" t="s">
        <v>2470</v>
      </c>
      <c r="B393" s="267" t="s">
        <v>2471</v>
      </c>
      <c r="C393" s="264"/>
      <c r="D393" s="264"/>
      <c r="F393" s="3">
        <f>+H360*(B361-B359)/B359</f>
        <v>3.1999235181644363</v>
      </c>
      <c r="G393" s="22" t="s">
        <v>699</v>
      </c>
    </row>
    <row r="394" spans="1:7" ht="6" customHeight="1">
      <c r="A394" s="22"/>
      <c r="B394" s="22"/>
      <c r="C394" s="22"/>
      <c r="D394" s="22"/>
      <c r="E394" s="22"/>
      <c r="F394" s="22"/>
      <c r="G394" s="22"/>
    </row>
    <row r="395" spans="1:7" ht="15.75" customHeight="1">
      <c r="A395" s="265" t="s">
        <v>1478</v>
      </c>
      <c r="B395" s="22"/>
      <c r="C395" s="22"/>
      <c r="D395" s="22"/>
      <c r="E395" s="22"/>
      <c r="F395" s="22"/>
      <c r="G395" s="22"/>
    </row>
    <row r="396" spans="1:7" ht="6" customHeight="1">
      <c r="A396" s="266"/>
      <c r="B396" s="22"/>
      <c r="C396" s="22"/>
      <c r="D396" s="22"/>
      <c r="E396" s="22"/>
      <c r="F396" s="22"/>
      <c r="G396" s="22"/>
    </row>
    <row r="397" spans="1:7" ht="15.75" customHeight="1">
      <c r="A397" s="298" t="s">
        <v>1495</v>
      </c>
      <c r="B397" s="22"/>
      <c r="C397" s="22"/>
      <c r="D397" s="22"/>
      <c r="E397" s="22"/>
      <c r="F397" s="22"/>
      <c r="G397" s="22"/>
    </row>
    <row r="398" spans="1:7" ht="6" customHeight="1">
      <c r="A398" s="22"/>
      <c r="B398" s="22"/>
      <c r="C398" s="22"/>
      <c r="D398" s="22"/>
      <c r="E398" s="22"/>
      <c r="F398" s="22"/>
      <c r="G398" s="22"/>
    </row>
    <row r="399" spans="1:7" ht="15.75" customHeight="1">
      <c r="A399" s="22"/>
      <c r="B399" s="9" t="s">
        <v>2472</v>
      </c>
      <c r="C399" s="268"/>
      <c r="D399" s="276">
        <f>+B359*F379*F393/H358</f>
        <v>9187.951924262148</v>
      </c>
      <c r="E399" s="270" t="s">
        <v>1214</v>
      </c>
      <c r="F399" s="22"/>
      <c r="G399" s="22"/>
    </row>
    <row r="400" spans="1:7" ht="6" customHeight="1">
      <c r="A400" s="22"/>
      <c r="B400" s="22"/>
      <c r="C400" s="22"/>
      <c r="D400" s="22"/>
      <c r="E400" s="22"/>
      <c r="F400" s="22"/>
      <c r="G400" s="22"/>
    </row>
    <row r="401" spans="1:7" ht="15.75" customHeight="1">
      <c r="A401" s="265" t="s">
        <v>2473</v>
      </c>
      <c r="B401" s="22"/>
      <c r="C401" s="22"/>
      <c r="D401" s="22"/>
      <c r="E401" s="22"/>
      <c r="F401" s="22"/>
      <c r="G401" s="22"/>
    </row>
    <row r="402" spans="1:7" ht="6" customHeight="1">
      <c r="A402" s="266"/>
      <c r="B402" s="22"/>
      <c r="C402" s="22"/>
      <c r="D402" s="22"/>
      <c r="E402" s="22"/>
      <c r="F402" s="22"/>
      <c r="G402" s="22"/>
    </row>
    <row r="403" spans="1:7" ht="15.75" customHeight="1">
      <c r="A403" s="14" t="s">
        <v>2474</v>
      </c>
      <c r="B403" s="22"/>
      <c r="C403" s="22"/>
      <c r="D403" s="22"/>
      <c r="E403" s="22"/>
      <c r="F403" s="22"/>
      <c r="G403" s="22"/>
    </row>
    <row r="404" spans="1:7" ht="6" customHeight="1">
      <c r="A404" s="22"/>
      <c r="B404" s="22"/>
      <c r="C404" s="22"/>
      <c r="D404" s="22"/>
      <c r="E404" s="22"/>
      <c r="F404" s="22"/>
      <c r="G404" s="22"/>
    </row>
    <row r="405" spans="1:7" ht="15.75" customHeight="1">
      <c r="A405" s="264"/>
      <c r="B405" s="22" t="s">
        <v>2475</v>
      </c>
      <c r="C405" s="22"/>
      <c r="D405" s="22"/>
      <c r="E405" s="22"/>
      <c r="F405" s="22"/>
      <c r="G405" s="22"/>
    </row>
    <row r="406" spans="1:7" ht="6" customHeight="1">
      <c r="A406" s="22"/>
      <c r="B406" s="22"/>
      <c r="C406" s="22"/>
      <c r="D406" s="22"/>
      <c r="E406" s="22"/>
      <c r="F406" s="22"/>
      <c r="G406" s="22"/>
    </row>
    <row r="407" spans="1:7" ht="15.75" customHeight="1">
      <c r="A407" s="4" t="s">
        <v>2476</v>
      </c>
      <c r="B407" s="264"/>
      <c r="C407" s="264"/>
      <c r="E407" s="273">
        <f>4*F379/(PI()*B360*E361)</f>
        <v>506533.8336767866</v>
      </c>
      <c r="F407" s="4"/>
      <c r="G407" s="264"/>
    </row>
    <row r="408" spans="4:7" ht="15.75" customHeight="1">
      <c r="D408" s="2" t="s">
        <v>2477</v>
      </c>
      <c r="E408" s="3">
        <f>+E362/E361</f>
        <v>0.0033333333333333335</v>
      </c>
      <c r="F408" s="264"/>
      <c r="G408" s="264"/>
    </row>
    <row r="409" spans="4:7" ht="15.75" customHeight="1">
      <c r="D409" s="2" t="s">
        <v>2478</v>
      </c>
      <c r="E409" s="19">
        <v>0.027185286226407895</v>
      </c>
      <c r="F409" s="29" t="s">
        <v>55</v>
      </c>
      <c r="G409" s="19"/>
    </row>
    <row r="410" spans="3:7" ht="15.75" customHeight="1">
      <c r="C410" s="125" t="s">
        <v>2479</v>
      </c>
      <c r="E410" s="273">
        <f>1/SQRT(E409)+2*LOG10(2.51/(E407*SQRT(E409))+E408/3.71)</f>
        <v>0.0006197186946570454</v>
      </c>
      <c r="F410" s="22"/>
      <c r="G410" s="273"/>
    </row>
    <row r="411" spans="3:7" ht="15.75" customHeight="1">
      <c r="C411" s="22"/>
      <c r="D411" s="125" t="s">
        <v>2480</v>
      </c>
      <c r="E411" s="273"/>
      <c r="F411" s="22"/>
      <c r="G411" s="273"/>
    </row>
    <row r="412" spans="1:7" ht="6" customHeight="1">
      <c r="A412" s="22"/>
      <c r="B412" s="22"/>
      <c r="C412" s="22"/>
      <c r="D412" s="22"/>
      <c r="E412" s="22"/>
      <c r="F412" s="22"/>
      <c r="G412" s="22"/>
    </row>
    <row r="413" spans="1:7" ht="15.75" customHeight="1">
      <c r="A413" s="22" t="s">
        <v>2481</v>
      </c>
      <c r="B413" s="22"/>
      <c r="C413" s="22"/>
      <c r="D413" s="22"/>
      <c r="E413" s="22"/>
      <c r="F413" s="22"/>
      <c r="G413" s="22"/>
    </row>
    <row r="414" spans="1:7" ht="6" customHeight="1">
      <c r="A414" s="22"/>
      <c r="B414" s="22"/>
      <c r="C414" s="22"/>
      <c r="D414" s="22"/>
      <c r="E414" s="22"/>
      <c r="F414" s="22"/>
      <c r="G414" s="22"/>
    </row>
    <row r="415" spans="1:8" ht="15.75" customHeight="1">
      <c r="A415" s="23" t="s">
        <v>2482</v>
      </c>
      <c r="B415" s="23"/>
      <c r="C415" s="23"/>
      <c r="D415" s="23"/>
      <c r="E415" s="23"/>
      <c r="F415" s="74"/>
      <c r="G415" s="8">
        <f>+(E409/E361)*F379^2/(2*B362*(PI()*E361^2/4)^2)*(E358+E359)-F393+F379^2/(2*B362*(PI()*E361^2/4)^2)+B358</f>
        <v>-0.6889046639431501</v>
      </c>
      <c r="H415" s="23" t="s">
        <v>699</v>
      </c>
    </row>
    <row r="416" spans="1:7" ht="6" customHeight="1">
      <c r="A416" s="22"/>
      <c r="B416" s="22"/>
      <c r="C416" s="22"/>
      <c r="D416" s="22"/>
      <c r="E416" s="22"/>
      <c r="F416" s="22"/>
      <c r="G416" s="22"/>
    </row>
    <row r="417" spans="1:7" ht="15.75" customHeight="1">
      <c r="A417" s="265" t="s">
        <v>2483</v>
      </c>
      <c r="B417" s="22"/>
      <c r="C417" s="22"/>
      <c r="D417" s="22"/>
      <c r="E417" s="22"/>
      <c r="F417" s="22"/>
      <c r="G417" s="22"/>
    </row>
    <row r="418" spans="1:7" ht="6" customHeight="1">
      <c r="A418" s="22"/>
      <c r="B418" s="22"/>
      <c r="C418" s="22"/>
      <c r="D418" s="22"/>
      <c r="E418" s="22"/>
      <c r="F418" s="22"/>
      <c r="G418" s="22"/>
    </row>
    <row r="419" spans="1:7" ht="15.75" customHeight="1">
      <c r="A419" s="10" t="s">
        <v>2484</v>
      </c>
      <c r="B419" s="11">
        <f>+(G415-B357)*B359</f>
        <v>-52474.457088634015</v>
      </c>
      <c r="C419" s="23" t="s">
        <v>700</v>
      </c>
      <c r="D419" s="22"/>
      <c r="E419" s="22"/>
      <c r="F419" s="299"/>
      <c r="G419" s="22"/>
    </row>
    <row r="420" spans="1:7" ht="6" customHeight="1">
      <c r="A420" s="22"/>
      <c r="B420" s="22"/>
      <c r="C420" s="22"/>
      <c r="D420" s="22"/>
      <c r="E420" s="22"/>
      <c r="F420" s="22"/>
      <c r="G420" s="22"/>
    </row>
    <row r="421" spans="1:7" ht="15.75" customHeight="1">
      <c r="A421" s="265" t="s">
        <v>2485</v>
      </c>
      <c r="B421" s="22"/>
      <c r="C421" s="22"/>
      <c r="D421" s="22"/>
      <c r="E421" s="22"/>
      <c r="F421" s="22"/>
      <c r="G421" s="22"/>
    </row>
    <row r="422" spans="1:7" ht="6" customHeight="1">
      <c r="A422" s="22"/>
      <c r="B422" s="22"/>
      <c r="C422" s="22"/>
      <c r="D422" s="22"/>
      <c r="E422" s="22"/>
      <c r="F422" s="22"/>
      <c r="G422" s="22"/>
    </row>
    <row r="423" spans="1:7" ht="15.75" customHeight="1">
      <c r="A423" s="14" t="s">
        <v>2486</v>
      </c>
      <c r="B423" s="22"/>
      <c r="C423" s="22"/>
      <c r="D423" s="22"/>
      <c r="E423" s="22"/>
      <c r="F423" s="22"/>
      <c r="G423" s="22"/>
    </row>
    <row r="424" spans="1:7" ht="6" customHeight="1">
      <c r="A424" s="22"/>
      <c r="B424" s="22"/>
      <c r="C424" s="22"/>
      <c r="D424" s="22"/>
      <c r="E424" s="22"/>
      <c r="F424" s="22"/>
      <c r="G424" s="22"/>
    </row>
    <row r="425" spans="1:7" ht="15.75" customHeight="1">
      <c r="A425" s="266" t="s">
        <v>2227</v>
      </c>
      <c r="B425" s="22"/>
      <c r="C425" s="22"/>
      <c r="D425" s="22"/>
      <c r="E425" s="22"/>
      <c r="F425" s="22"/>
      <c r="G425" s="22"/>
    </row>
    <row r="426" spans="1:7" ht="6" customHeight="1">
      <c r="A426" s="22"/>
      <c r="B426" s="22"/>
      <c r="C426" s="22"/>
      <c r="D426" s="22"/>
      <c r="E426" s="22"/>
      <c r="F426" s="22"/>
      <c r="G426" s="22"/>
    </row>
    <row r="427" spans="1:9" ht="15.75" customHeight="1">
      <c r="A427" s="4" t="s">
        <v>2228</v>
      </c>
      <c r="C427" s="273">
        <f>4*$F$379/(PI()*$B$360*E360)</f>
        <v>303920.300206072</v>
      </c>
      <c r="D427" s="264"/>
      <c r="F427" s="4" t="s">
        <v>1486</v>
      </c>
      <c r="H427" s="273">
        <f>4*$F$379/(PI()*$B$360*E361)</f>
        <v>506533.8336767866</v>
      </c>
      <c r="I427" s="264"/>
    </row>
    <row r="428" spans="2:9" ht="15.75" customHeight="1">
      <c r="B428" s="2" t="s">
        <v>1487</v>
      </c>
      <c r="C428" s="3">
        <f>+E362/E360</f>
        <v>0.002</v>
      </c>
      <c r="D428" s="264"/>
      <c r="G428" s="2" t="s">
        <v>1488</v>
      </c>
      <c r="H428" s="3">
        <f>+E362/E361</f>
        <v>0.0033333333333333335</v>
      </c>
      <c r="I428" s="264"/>
    </row>
    <row r="429" spans="2:9" ht="15.75" customHeight="1">
      <c r="B429" s="2" t="s">
        <v>1489</v>
      </c>
      <c r="C429" s="19">
        <v>0.024000235947817</v>
      </c>
      <c r="D429" s="29" t="s">
        <v>300</v>
      </c>
      <c r="G429" s="2" t="s">
        <v>1491</v>
      </c>
      <c r="H429" s="19">
        <v>0.027185279881019788</v>
      </c>
      <c r="I429" s="29" t="s">
        <v>55</v>
      </c>
    </row>
    <row r="430" spans="1:9" ht="15.75" customHeight="1">
      <c r="A430" s="125" t="s">
        <v>2450</v>
      </c>
      <c r="C430" s="273">
        <f>1/SQRT(C429)+2*LOG10(2.51/(C427*SQRT(C429))+C428/3.71)</f>
        <v>0.00016073149138406961</v>
      </c>
      <c r="D430" s="22"/>
      <c r="F430" s="125" t="s">
        <v>2451</v>
      </c>
      <c r="H430" s="273">
        <f>1/SQRT(H429)+2*LOG10(2.51/(H427*SQRT(H429))+H428/3.71)</f>
        <v>0.0006204298031642352</v>
      </c>
      <c r="I430" s="264"/>
    </row>
    <row r="431" spans="1:8" ht="15.75" customHeight="1">
      <c r="A431" s="125" t="s">
        <v>902</v>
      </c>
      <c r="C431" s="22"/>
      <c r="D431" s="22"/>
      <c r="F431" s="125" t="s">
        <v>902</v>
      </c>
      <c r="H431" s="22"/>
    </row>
    <row r="432" spans="1:7" ht="6" customHeight="1">
      <c r="A432" s="264"/>
      <c r="B432" s="264"/>
      <c r="C432" s="264"/>
      <c r="D432" s="264"/>
      <c r="E432" s="264"/>
      <c r="F432" s="264"/>
      <c r="G432" s="264"/>
    </row>
    <row r="433" spans="1:7" ht="15.75" customHeight="1">
      <c r="A433" s="4" t="s">
        <v>1907</v>
      </c>
      <c r="B433" s="10" t="s">
        <v>1726</v>
      </c>
      <c r="C433" s="201">
        <f>0.5*F379^2/(2*B362*(PI()*E360^2/4)^2)+(C429/E360)*F379^2/(2*B362*(PI()*E360^2/4)^2)*E357+H357*F379^2/(2*B362*(PI()*E361^2/4)^2)+(H429/E361)*F379^2/(2*B362*(PI()*E361^2/4)^2)*E358+F379^2/(2*B362*(PI()*E361^2/4)^2)+G415</f>
        <v>1.2685216017312473</v>
      </c>
      <c r="D433" s="270" t="s">
        <v>699</v>
      </c>
      <c r="E433" s="264"/>
      <c r="F433" s="264"/>
      <c r="G433" s="264"/>
    </row>
    <row r="434" ht="6" customHeight="1"/>
    <row r="435" spans="1:9" ht="6" customHeight="1">
      <c r="A435" s="131"/>
      <c r="B435" s="131"/>
      <c r="C435" s="131"/>
      <c r="D435" s="131"/>
      <c r="E435" s="131"/>
      <c r="F435" s="131"/>
      <c r="G435" s="131"/>
      <c r="H435" s="131"/>
      <c r="I435" s="131"/>
    </row>
    <row r="436" ht="6" customHeight="1"/>
    <row r="437" ht="15.75" customHeight="1">
      <c r="A437" s="85"/>
    </row>
    <row r="438" ht="15.75" customHeight="1">
      <c r="A438" s="1"/>
    </row>
    <row r="439" ht="15.75" customHeight="1">
      <c r="A439" s="5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Politecnico</cp:lastModifiedBy>
  <cp:lastPrinted>2007-05-14T10:59:19Z</cp:lastPrinted>
  <dcterms:created xsi:type="dcterms:W3CDTF">2003-10-04T09:30:53Z</dcterms:created>
  <dcterms:modified xsi:type="dcterms:W3CDTF">2007-10-09T12:22:39Z</dcterms:modified>
  <cp:category/>
  <cp:version/>
  <cp:contentType/>
  <cp:contentStatus/>
</cp:coreProperties>
</file>